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pivotTables/pivotTable2.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pivotTables/pivotTable3.xml" ContentType="application/vnd.openxmlformats-officedocument.spreadsheetml.pivotTable+xml"/>
  <Override PartName="/xl/drawings/drawing5.xml" ContentType="application/vnd.openxmlformats-officedocument.drawing+xml"/>
  <Override PartName="/xl/drawings/drawing6.xml" ContentType="application/vnd.openxmlformats-officedocument.drawing+xml"/>
  <Override PartName="/xl/tables/table5.xml" ContentType="application/vnd.openxmlformats-officedocument.spreadsheetml.table+xml"/>
  <Override PartName="/xl/slicers/slicer1.xml" ContentType="application/vnd.ms-excel.slicer+xml"/>
  <Override PartName="/xl/drawings/drawing7.xml" ContentType="application/vnd.openxmlformats-officedocument.drawing+xml"/>
  <Override PartName="/xl/tables/table6.xml" ContentType="application/vnd.openxmlformats-officedocument.spreadsheetml.table+xml"/>
  <Override PartName="/xl/slicers/slicer2.xml" ContentType="application/vnd.ms-excel.slicer+xml"/>
  <Override PartName="/xl/drawings/drawing8.xml" ContentType="application/vnd.openxmlformats-officedocument.drawing+xml"/>
  <Override PartName="/xl/tables/table7.xml" ContentType="application/vnd.openxmlformats-officedocument.spreadsheetml.table+xml"/>
  <Override PartName="/xl/slicers/slicer3.xml" ContentType="application/vnd.ms-excel.slicer+xml"/>
  <Override PartName="/xl/drawings/drawing9.xml" ContentType="application/vnd.openxmlformats-officedocument.drawing+xml"/>
  <Override PartName="/xl/pivotTables/pivotTable4.xml" ContentType="application/vnd.openxmlformats-officedocument.spreadsheetml.pivotTable+xml"/>
  <Override PartName="/xl/drawings/drawing10.xml" ContentType="application/vnd.openxmlformats-officedocument.drawing+xml"/>
  <Override PartName="/xl/pivotTables/pivotTable5.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autoCompressPictures="0"/>
  <mc:AlternateContent xmlns:mc="http://schemas.openxmlformats.org/markup-compatibility/2006">
    <mc:Choice Requires="x15">
      <x15ac:absPath xmlns:x15ac="http://schemas.microsoft.com/office/spreadsheetml/2010/11/ac" url="X:\2211\2- PROJECTS\47600-47699\47661 Naut'sa Mawt\2.0 Documents\Reports - ML\1.0 Preparing an MMP - Guidebook\"/>
    </mc:Choice>
  </mc:AlternateContent>
  <xr:revisionPtr revIDLastSave="0" documentId="13_ncr:1_{FD01BA1D-47A2-4652-BB64-8DC559D6D0E9}" xr6:coauthVersionLast="47" xr6:coauthVersionMax="47" xr10:uidLastSave="{00000000-0000-0000-0000-000000000000}"/>
  <bookViews>
    <workbookView xWindow="13200" yWindow="-16575" windowWidth="29040" windowHeight="15840" tabRatio="934" xr2:uid="{00000000-000D-0000-FFFF-FFFF00000000}"/>
  </bookViews>
  <sheets>
    <sheet name="TABLE OF CONTENTS" sheetId="25" r:id="rId1"/>
    <sheet name="1.ASSET INVENTORY - WATERMAINS" sheetId="34" r:id="rId2"/>
    <sheet name="2. ASSET INVENTORY - SANI MAIN" sheetId="35" r:id="rId3"/>
    <sheet name="3.ASSET INVENTORY - Non-Linear" sheetId="36" r:id="rId4"/>
    <sheet name="4. SUGGESTED WORK ORDERS" sheetId="48" r:id="rId5"/>
    <sheet name="5. SCHEDULE" sheetId="28" r:id="rId6"/>
    <sheet name="6. BUDGET" sheetId="43" r:id="rId7"/>
    <sheet name="i. WO Data Masterlist" sheetId="40" r:id="rId8"/>
    <sheet name="ii. WO Linear Infr. Mnt Hours" sheetId="44" r:id="rId9"/>
    <sheet name="iii.Annual Mnt. Budget Summary " sheetId="47" r:id="rId10"/>
    <sheet name="iv. Annual Unit Cost" sheetId="50" r:id="rId11"/>
  </sheets>
  <definedNames>
    <definedName name="_xlnm.Print_Area" localSheetId="5">'5. SCHEDULE'!$A$1:$BK$64</definedName>
    <definedName name="_xlnm.Print_Area" localSheetId="6">'6. BUDGET'!$A$1:$O$61</definedName>
    <definedName name="S01AssetSubgroup">#REF!</definedName>
    <definedName name="Slicer_ASSET_COMPONENT">#N/A</definedName>
    <definedName name="Slicer_Asset_Component1">#N/A</definedName>
    <definedName name="Slicer_ASSET_GROUP">#N/A</definedName>
    <definedName name="Slicer_Asset_Group1">#N/A</definedName>
    <definedName name="Slicer_ASSET_GROUP2">#N/A</definedName>
    <definedName name="Slicer_Frequency">#N/A</definedName>
    <definedName name="TaskDescription" localSheetId="6">'6. BUDGET'!$E$19</definedName>
    <definedName name="TaskDescription">'5. SCHEDULE'!$D$49</definedName>
    <definedName name="Type">#REF!</definedName>
  </definedNames>
  <calcPr calcId="191029"/>
  <pivotCaches>
    <pivotCache cacheId="23" r:id="rId12"/>
    <pivotCache cacheId="24" r:id="rId13"/>
    <pivotCache cacheId="25" r:id="rId14"/>
    <pivotCache cacheId="31" r:id="rId15"/>
  </pivotCaches>
  <fileRecoveryPr autoRecover="0"/>
  <extLst>
    <ext xmlns:x14="http://schemas.microsoft.com/office/spreadsheetml/2009/9/main" uri="{79F54976-1DA5-4618-B147-4CDE4B953A38}">
      <x14:workbookPr defaultImageDpi="32767"/>
    </ext>
    <ext xmlns:x15="http://schemas.microsoft.com/office/spreadsheetml/2010/11/main" uri="{46BE6895-7355-4a93-B00E-2C351335B9C9}">
      <x15:slicerCaches xmlns:x14="http://schemas.microsoft.com/office/spreadsheetml/2009/9/main">
        <x14:slicerCache r:id="rId16"/>
        <x14:slicerCache r:id="rId17"/>
        <x14:slicerCache r:id="rId18"/>
        <x14:slicerCache r:id="rId19"/>
        <x14:slicerCache r:id="rId20"/>
        <x14:slicerCache r:id="rId21"/>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57" i="40" l="1"/>
  <c r="M10" i="44"/>
  <c r="M11" i="44"/>
  <c r="N55" i="40"/>
  <c r="N54" i="40"/>
  <c r="N53" i="40"/>
  <c r="N52" i="40"/>
  <c r="N51" i="40"/>
  <c r="I39" i="36" l="1"/>
  <c r="I19" i="36"/>
  <c r="I20" i="36"/>
  <c r="I21" i="36"/>
  <c r="I22" i="36"/>
  <c r="I23" i="36"/>
  <c r="I24" i="36"/>
  <c r="I25" i="36"/>
  <c r="I26" i="36"/>
  <c r="I27" i="36"/>
  <c r="I28" i="36"/>
  <c r="I29" i="36"/>
  <c r="I30" i="36"/>
  <c r="I31" i="36"/>
  <c r="I32" i="36"/>
  <c r="I33" i="36"/>
  <c r="I34" i="36"/>
  <c r="I35" i="36"/>
  <c r="I36" i="36"/>
  <c r="I37" i="36"/>
  <c r="I38" i="36"/>
  <c r="S35" i="40"/>
  <c r="S32" i="40"/>
  <c r="S33" i="40"/>
  <c r="S34" i="40"/>
  <c r="S36" i="40"/>
  <c r="S37" i="40"/>
  <c r="S38" i="40"/>
  <c r="S39" i="40"/>
  <c r="S40" i="40"/>
  <c r="S41" i="40"/>
  <c r="S42" i="40"/>
  <c r="S43" i="40"/>
  <c r="S44" i="40"/>
  <c r="S45" i="40"/>
  <c r="S46" i="40"/>
  <c r="S47" i="40"/>
  <c r="S48" i="40"/>
  <c r="S49" i="40"/>
  <c r="S50" i="40"/>
  <c r="S58" i="40"/>
  <c r="S59" i="40"/>
  <c r="S60" i="40"/>
  <c r="S61" i="40"/>
  <c r="S62" i="40"/>
  <c r="S63" i="40"/>
  <c r="S64" i="40"/>
  <c r="S65" i="40"/>
  <c r="S66" i="40"/>
  <c r="S67" i="40"/>
  <c r="S69" i="40"/>
  <c r="S70" i="40"/>
  <c r="S71" i="40"/>
  <c r="S72" i="40"/>
  <c r="S73" i="40"/>
  <c r="S74" i="40"/>
  <c r="S75" i="40"/>
  <c r="S76" i="40"/>
  <c r="S77" i="40"/>
  <c r="S78" i="40"/>
  <c r="S79" i="40"/>
  <c r="S80" i="40"/>
  <c r="S81" i="40"/>
  <c r="S82" i="40"/>
  <c r="S83" i="40"/>
  <c r="S84" i="40"/>
  <c r="S85" i="40"/>
  <c r="S86" i="40"/>
  <c r="S87" i="40"/>
  <c r="S88" i="40"/>
  <c r="S89" i="40"/>
  <c r="S90" i="40"/>
  <c r="S91" i="40"/>
  <c r="S92" i="40"/>
  <c r="S93" i="40"/>
  <c r="S94" i="40"/>
  <c r="S95" i="40"/>
  <c r="N30" i="40"/>
  <c r="N29" i="40"/>
  <c r="N28" i="40"/>
  <c r="N27" i="40"/>
  <c r="N26" i="40"/>
  <c r="S26" i="40" s="1"/>
  <c r="N25" i="40"/>
  <c r="S25" i="40" s="1"/>
  <c r="N24" i="40"/>
  <c r="S24" i="40" s="1"/>
  <c r="G68" i="40"/>
  <c r="G38" i="40"/>
  <c r="K15" i="28"/>
  <c r="L15" i="28"/>
  <c r="Q15" i="28"/>
  <c r="O35" i="40"/>
  <c r="O31" i="40"/>
  <c r="O24" i="40"/>
  <c r="O89" i="40"/>
  <c r="O84" i="40"/>
  <c r="O39" i="40"/>
  <c r="O83" i="40"/>
  <c r="O92" i="40"/>
  <c r="O21" i="40"/>
  <c r="O78" i="40"/>
  <c r="O61" i="40"/>
  <c r="O91" i="40"/>
  <c r="O34" i="40"/>
  <c r="O22" i="40"/>
  <c r="O51" i="40"/>
  <c r="O62" i="40"/>
  <c r="O28" i="40"/>
  <c r="O69" i="40"/>
  <c r="O63" i="40"/>
  <c r="O20" i="40"/>
  <c r="O64" i="40"/>
  <c r="O82" i="40"/>
  <c r="O67" i="40"/>
  <c r="O43" i="40"/>
  <c r="O86" i="40"/>
  <c r="O32" i="40"/>
  <c r="O44" i="40"/>
  <c r="O95" i="40"/>
  <c r="O18" i="40"/>
  <c r="O38" i="40"/>
  <c r="O54" i="40"/>
  <c r="O45" i="40"/>
  <c r="O53" i="40"/>
  <c r="O90" i="40"/>
  <c r="O88" i="40"/>
  <c r="O33" i="40"/>
  <c r="O94" i="40"/>
  <c r="O58" i="40"/>
  <c r="O26" i="40"/>
  <c r="O48" i="40"/>
  <c r="O79" i="40"/>
  <c r="O46" i="40"/>
  <c r="O77" i="40"/>
  <c r="O74" i="40"/>
  <c r="O36" i="40"/>
  <c r="O73" i="40"/>
  <c r="O65" i="40"/>
  <c r="O60" i="40"/>
  <c r="O50" i="40"/>
  <c r="O56" i="40"/>
  <c r="O49" i="40"/>
  <c r="O23" i="40"/>
  <c r="O19" i="40"/>
  <c r="O81" i="40"/>
  <c r="O68" i="40"/>
  <c r="O70" i="40"/>
  <c r="O37" i="40"/>
  <c r="O59" i="40"/>
  <c r="O25" i="40"/>
  <c r="O52" i="40"/>
  <c r="O29" i="40"/>
  <c r="O42" i="40"/>
  <c r="O40" i="40"/>
  <c r="O55" i="40"/>
  <c r="O47" i="40"/>
  <c r="O87" i="40"/>
  <c r="O75" i="40"/>
  <c r="O72" i="40"/>
  <c r="O76" i="40"/>
  <c r="O66" i="40"/>
  <c r="O41" i="40"/>
  <c r="O80" i="40"/>
  <c r="O27" i="40"/>
  <c r="O93" i="40"/>
  <c r="O30" i="40"/>
  <c r="O71" i="40"/>
  <c r="O85" i="40"/>
  <c r="Q15" i="25"/>
  <c r="Q14" i="25"/>
  <c r="Q80" i="40" l="1"/>
  <c r="R80" i="40"/>
  <c r="Q88" i="40"/>
  <c r="Q87" i="40"/>
  <c r="R87" i="40"/>
  <c r="Q86" i="40"/>
  <c r="R86" i="40"/>
  <c r="R83" i="40"/>
  <c r="Q83" i="40"/>
  <c r="Q85" i="40"/>
  <c r="R85" i="40"/>
  <c r="Q84" i="40"/>
  <c r="R84" i="40"/>
  <c r="Q82" i="40"/>
  <c r="R82" i="40"/>
  <c r="Q81" i="40"/>
  <c r="R81" i="40"/>
  <c r="S54" i="40" l="1"/>
  <c r="N19" i="43"/>
  <c r="N20" i="43"/>
  <c r="N21" i="43"/>
  <c r="N22" i="43"/>
  <c r="N23" i="43"/>
  <c r="N24" i="43"/>
  <c r="N25" i="43"/>
  <c r="N26" i="43"/>
  <c r="N27" i="43"/>
  <c r="N28" i="43"/>
  <c r="N29" i="43"/>
  <c r="N30" i="43"/>
  <c r="N31" i="43"/>
  <c r="N32" i="43"/>
  <c r="N33" i="43"/>
  <c r="N34" i="43"/>
  <c r="N35" i="43"/>
  <c r="N36" i="43"/>
  <c r="N37" i="43"/>
  <c r="N38" i="43"/>
  <c r="N39" i="43"/>
  <c r="N40" i="43"/>
  <c r="N41" i="43"/>
  <c r="N42" i="43"/>
  <c r="N43" i="43"/>
  <c r="N44" i="43"/>
  <c r="N45" i="43"/>
  <c r="N46" i="43"/>
  <c r="N47" i="43"/>
  <c r="N48" i="43"/>
  <c r="N49" i="43"/>
  <c r="N50" i="43"/>
  <c r="N51" i="43"/>
  <c r="N52" i="43"/>
  <c r="N53" i="43"/>
  <c r="N54" i="43"/>
  <c r="N55" i="43"/>
  <c r="N56" i="43"/>
  <c r="N57" i="43"/>
  <c r="N58" i="43"/>
  <c r="N59" i="43"/>
  <c r="N60" i="43"/>
  <c r="N61" i="43"/>
  <c r="M19" i="43"/>
  <c r="M20" i="43"/>
  <c r="M21" i="43"/>
  <c r="M22" i="43"/>
  <c r="M23" i="43"/>
  <c r="M24" i="43"/>
  <c r="M25" i="43"/>
  <c r="M26" i="43"/>
  <c r="M27" i="43"/>
  <c r="M28" i="43"/>
  <c r="M29" i="43"/>
  <c r="M30" i="43"/>
  <c r="M31" i="43"/>
  <c r="M32" i="43"/>
  <c r="M33" i="43"/>
  <c r="M34" i="43"/>
  <c r="M35" i="43"/>
  <c r="M36" i="43"/>
  <c r="M37" i="43"/>
  <c r="M38" i="43"/>
  <c r="M39" i="43"/>
  <c r="M40" i="43"/>
  <c r="M41" i="43"/>
  <c r="M42" i="43"/>
  <c r="M43" i="43"/>
  <c r="M44" i="43"/>
  <c r="M45" i="43"/>
  <c r="M46" i="43"/>
  <c r="M47" i="43"/>
  <c r="M48" i="43"/>
  <c r="M49" i="43"/>
  <c r="M50" i="43"/>
  <c r="M51" i="43"/>
  <c r="M52" i="43"/>
  <c r="M53" i="43"/>
  <c r="M54" i="43"/>
  <c r="M55" i="43"/>
  <c r="M56" i="43"/>
  <c r="M57" i="43"/>
  <c r="M58" i="43"/>
  <c r="M59" i="43"/>
  <c r="M60" i="43"/>
  <c r="M61" i="43"/>
  <c r="L19" i="43"/>
  <c r="L20" i="43"/>
  <c r="L21" i="43"/>
  <c r="L22" i="43"/>
  <c r="L23" i="43"/>
  <c r="L24" i="43"/>
  <c r="L25" i="43"/>
  <c r="L26" i="43"/>
  <c r="L27" i="43"/>
  <c r="L28" i="43"/>
  <c r="L29" i="43"/>
  <c r="L30" i="43"/>
  <c r="L31" i="43"/>
  <c r="L32" i="43"/>
  <c r="L33" i="43"/>
  <c r="L34" i="43"/>
  <c r="L35" i="43"/>
  <c r="L36" i="43"/>
  <c r="L37" i="43"/>
  <c r="L38" i="43"/>
  <c r="L39" i="43"/>
  <c r="L40" i="43"/>
  <c r="L41" i="43"/>
  <c r="L42" i="43"/>
  <c r="L43" i="43"/>
  <c r="L44" i="43"/>
  <c r="L45" i="43"/>
  <c r="L46" i="43"/>
  <c r="L47" i="43"/>
  <c r="L48" i="43"/>
  <c r="L49" i="43"/>
  <c r="L50" i="43"/>
  <c r="L51" i="43"/>
  <c r="L52" i="43"/>
  <c r="L53" i="43"/>
  <c r="L54" i="43"/>
  <c r="L55" i="43"/>
  <c r="L56" i="43"/>
  <c r="L57" i="43"/>
  <c r="L58" i="43"/>
  <c r="L59" i="43"/>
  <c r="L60" i="43"/>
  <c r="L61" i="43"/>
  <c r="K19" i="43"/>
  <c r="K20" i="43"/>
  <c r="K21" i="43"/>
  <c r="K22" i="43"/>
  <c r="K23" i="43"/>
  <c r="K24" i="43"/>
  <c r="K25" i="43"/>
  <c r="K26" i="43"/>
  <c r="K27" i="43"/>
  <c r="K28" i="43"/>
  <c r="K29" i="43"/>
  <c r="K30" i="43"/>
  <c r="K31" i="43"/>
  <c r="K32" i="43"/>
  <c r="K33" i="43"/>
  <c r="K34" i="43"/>
  <c r="K35" i="43"/>
  <c r="K36" i="43"/>
  <c r="K37" i="43"/>
  <c r="K38" i="43"/>
  <c r="K39" i="43"/>
  <c r="K40" i="43"/>
  <c r="K41" i="43"/>
  <c r="K42" i="43"/>
  <c r="K43" i="43"/>
  <c r="K44" i="43"/>
  <c r="K45" i="43"/>
  <c r="K46" i="43"/>
  <c r="K47" i="43"/>
  <c r="K48" i="43"/>
  <c r="K49" i="43"/>
  <c r="K50" i="43"/>
  <c r="K51" i="43"/>
  <c r="K52" i="43"/>
  <c r="K53" i="43"/>
  <c r="K54" i="43"/>
  <c r="K55" i="43"/>
  <c r="K56" i="43"/>
  <c r="K57" i="43"/>
  <c r="K58" i="43"/>
  <c r="K59" i="43"/>
  <c r="K60" i="43"/>
  <c r="K61" i="43"/>
  <c r="F19" i="43"/>
  <c r="F20" i="43"/>
  <c r="F21" i="43"/>
  <c r="F22" i="43"/>
  <c r="F23" i="43"/>
  <c r="F24" i="43"/>
  <c r="F25" i="43"/>
  <c r="F26" i="43"/>
  <c r="F27" i="43"/>
  <c r="F28" i="43"/>
  <c r="F29" i="43"/>
  <c r="F30" i="43"/>
  <c r="F31" i="43"/>
  <c r="F32" i="43"/>
  <c r="F33" i="43"/>
  <c r="F34" i="43"/>
  <c r="F35" i="43"/>
  <c r="F36" i="43"/>
  <c r="F37" i="43"/>
  <c r="F38" i="43"/>
  <c r="F39" i="43"/>
  <c r="F40" i="43"/>
  <c r="F41" i="43"/>
  <c r="F42" i="43"/>
  <c r="F43" i="43"/>
  <c r="F44" i="43"/>
  <c r="F45" i="43"/>
  <c r="F46" i="43"/>
  <c r="F47" i="43"/>
  <c r="F48" i="43"/>
  <c r="F49" i="43"/>
  <c r="F50" i="43"/>
  <c r="F51" i="43"/>
  <c r="F52" i="43"/>
  <c r="F53" i="43"/>
  <c r="F54" i="43"/>
  <c r="F55" i="43"/>
  <c r="F56" i="43"/>
  <c r="F57" i="43"/>
  <c r="F58" i="43"/>
  <c r="F59" i="43"/>
  <c r="F60" i="43"/>
  <c r="F61"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D19" i="43"/>
  <c r="D20" i="43"/>
  <c r="D21" i="43"/>
  <c r="D22" i="43"/>
  <c r="D23" i="43"/>
  <c r="D24" i="43"/>
  <c r="D25" i="43"/>
  <c r="D26" i="43"/>
  <c r="D27" i="43"/>
  <c r="D28" i="43"/>
  <c r="D29" i="43"/>
  <c r="D30" i="43"/>
  <c r="D31" i="43"/>
  <c r="D32" i="43"/>
  <c r="D33" i="43"/>
  <c r="D34" i="43"/>
  <c r="D35" i="43"/>
  <c r="D36" i="43"/>
  <c r="D37" i="43"/>
  <c r="D38" i="43"/>
  <c r="D39" i="43"/>
  <c r="D40" i="43"/>
  <c r="D41" i="43"/>
  <c r="D42" i="43"/>
  <c r="D43" i="43"/>
  <c r="D44" i="43"/>
  <c r="D45" i="43"/>
  <c r="D46" i="43"/>
  <c r="D47" i="43"/>
  <c r="D48" i="43"/>
  <c r="D49" i="43"/>
  <c r="D50" i="43"/>
  <c r="D51" i="43"/>
  <c r="D52" i="43"/>
  <c r="D53" i="43"/>
  <c r="D54" i="43"/>
  <c r="D55" i="43"/>
  <c r="D56" i="43"/>
  <c r="D57" i="43"/>
  <c r="D58" i="43"/>
  <c r="D59" i="43"/>
  <c r="D60" i="43"/>
  <c r="D61" i="43"/>
  <c r="C19" i="43"/>
  <c r="C20" i="43"/>
  <c r="C21" i="43"/>
  <c r="C22" i="43"/>
  <c r="C23" i="43"/>
  <c r="C24" i="43"/>
  <c r="C25" i="43"/>
  <c r="C26" i="43"/>
  <c r="C27" i="43"/>
  <c r="C28" i="43"/>
  <c r="C29" i="43"/>
  <c r="C30" i="43"/>
  <c r="C31" i="43"/>
  <c r="C32" i="43"/>
  <c r="C33" i="43"/>
  <c r="C34" i="43"/>
  <c r="C35" i="43"/>
  <c r="C36" i="43"/>
  <c r="C37" i="43"/>
  <c r="C38" i="43"/>
  <c r="C39" i="43"/>
  <c r="C40" i="43"/>
  <c r="C41" i="43"/>
  <c r="C42" i="43"/>
  <c r="C43" i="43"/>
  <c r="C44" i="43"/>
  <c r="C45" i="43"/>
  <c r="C46" i="43"/>
  <c r="C47" i="43"/>
  <c r="C48" i="43"/>
  <c r="C49" i="43"/>
  <c r="C50" i="43"/>
  <c r="C51" i="43"/>
  <c r="C52" i="43"/>
  <c r="C53" i="43"/>
  <c r="C54" i="43"/>
  <c r="C55" i="43"/>
  <c r="C56" i="43"/>
  <c r="C57" i="43"/>
  <c r="C58" i="43"/>
  <c r="C59" i="43"/>
  <c r="C60" i="43"/>
  <c r="C61" i="43"/>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55" i="28"/>
  <c r="E56" i="28"/>
  <c r="E57" i="28"/>
  <c r="E58" i="28"/>
  <c r="E59" i="28"/>
  <c r="E60" i="28"/>
  <c r="E61" i="28"/>
  <c r="E62" i="28"/>
  <c r="E63" i="28"/>
  <c r="E64" i="28"/>
  <c r="D22" i="28"/>
  <c r="D23" i="28"/>
  <c r="D24" i="28"/>
  <c r="D25" i="28"/>
  <c r="D26" i="28"/>
  <c r="D27" i="28"/>
  <c r="D28" i="28"/>
  <c r="D29" i="28"/>
  <c r="D30" i="28"/>
  <c r="D31" i="28"/>
  <c r="D32" i="28"/>
  <c r="D33" i="28"/>
  <c r="D34" i="28"/>
  <c r="D35" i="28"/>
  <c r="D36" i="28"/>
  <c r="D37" i="28"/>
  <c r="D38" i="28"/>
  <c r="D39" i="28"/>
  <c r="D40" i="28"/>
  <c r="D41" i="28"/>
  <c r="D42" i="28"/>
  <c r="D43" i="28"/>
  <c r="D44" i="28"/>
  <c r="D45" i="28"/>
  <c r="D46" i="28"/>
  <c r="D47" i="28"/>
  <c r="D48" i="28"/>
  <c r="D49" i="28"/>
  <c r="D50" i="28"/>
  <c r="D51" i="28"/>
  <c r="D52" i="28"/>
  <c r="D53" i="28"/>
  <c r="D54" i="28"/>
  <c r="D55" i="28"/>
  <c r="D56" i="28"/>
  <c r="D57" i="28"/>
  <c r="D58" i="28"/>
  <c r="D59" i="28"/>
  <c r="D60" i="28"/>
  <c r="D61" i="28"/>
  <c r="D62" i="28"/>
  <c r="D63" i="28"/>
  <c r="D64" i="28"/>
  <c r="C22" i="28"/>
  <c r="C23" i="28"/>
  <c r="C24" i="28"/>
  <c r="C25" i="28"/>
  <c r="C26" i="28"/>
  <c r="C27" i="28"/>
  <c r="C28" i="28"/>
  <c r="C29" i="28"/>
  <c r="C30" i="28"/>
  <c r="C31" i="28"/>
  <c r="C32" i="28"/>
  <c r="C33" i="28"/>
  <c r="C34" i="28"/>
  <c r="C35" i="28"/>
  <c r="C36" i="28"/>
  <c r="C37" i="28"/>
  <c r="C38" i="28"/>
  <c r="C39" i="28"/>
  <c r="C40" i="28"/>
  <c r="C41" i="28"/>
  <c r="C42" i="28"/>
  <c r="C43" i="28"/>
  <c r="C44" i="28"/>
  <c r="C45" i="28"/>
  <c r="C46" i="28"/>
  <c r="C47" i="28"/>
  <c r="C48" i="28"/>
  <c r="C49" i="28"/>
  <c r="C50" i="28"/>
  <c r="C51" i="28"/>
  <c r="C52" i="28"/>
  <c r="C53" i="28"/>
  <c r="C54" i="28"/>
  <c r="C55" i="28"/>
  <c r="C56" i="28"/>
  <c r="C57" i="28"/>
  <c r="C58" i="28"/>
  <c r="C59" i="28"/>
  <c r="C60" i="28"/>
  <c r="C61" i="28"/>
  <c r="C62" i="28"/>
  <c r="C63" i="28"/>
  <c r="C64" i="28"/>
  <c r="J28" i="40"/>
  <c r="S28" i="40" s="1"/>
  <c r="J29" i="40"/>
  <c r="S29" i="40" s="1"/>
  <c r="J30" i="40"/>
  <c r="S30" i="40" s="1"/>
  <c r="O12" i="43" l="1"/>
  <c r="F71" i="44"/>
  <c r="Q89" i="40" l="1"/>
  <c r="R89" i="40"/>
  <c r="Q94" i="40"/>
  <c r="R94" i="40"/>
  <c r="Q93" i="40"/>
  <c r="R93" i="40"/>
  <c r="Q91" i="40"/>
  <c r="R91" i="40"/>
  <c r="R88" i="40"/>
  <c r="Q92" i="40"/>
  <c r="R92" i="40"/>
  <c r="R90" i="40"/>
  <c r="Q90" i="40"/>
  <c r="R95" i="40"/>
  <c r="Q95" i="40"/>
  <c r="G30" i="28" l="1"/>
  <c r="G51" i="28"/>
  <c r="G63" i="28"/>
  <c r="G29" i="28"/>
  <c r="G49" i="28"/>
  <c r="G35" i="28"/>
  <c r="G62" i="28"/>
  <c r="G48" i="28"/>
  <c r="G40" i="28"/>
  <c r="G60" i="28"/>
  <c r="G50" i="28"/>
  <c r="G41" i="28"/>
  <c r="G32" i="28"/>
  <c r="G43" i="28"/>
  <c r="G61" i="28"/>
  <c r="G25" i="28"/>
  <c r="G45" i="28"/>
  <c r="G39" i="28"/>
  <c r="G33" i="28"/>
  <c r="G46" i="28"/>
  <c r="G36" i="28"/>
  <c r="G56" i="28"/>
  <c r="G54" i="28"/>
  <c r="G31" i="28"/>
  <c r="G28" i="28"/>
  <c r="G34" i="28"/>
  <c r="G53" i="28"/>
  <c r="G27" i="28"/>
  <c r="G47" i="28"/>
  <c r="G37" i="28"/>
  <c r="G22" i="28"/>
  <c r="G24" i="28"/>
  <c r="G64" i="28"/>
  <c r="G38" i="28"/>
  <c r="G23" i="28"/>
  <c r="G57" i="28"/>
  <c r="G58" i="28"/>
  <c r="R56" i="40"/>
  <c r="G59" i="28"/>
  <c r="G42" i="28"/>
  <c r="G55" i="28"/>
  <c r="G52" i="28"/>
  <c r="G26" i="28"/>
  <c r="G44" i="28"/>
  <c r="F52" i="28"/>
  <c r="G29" i="43"/>
  <c r="G23" i="43"/>
  <c r="G24" i="43"/>
  <c r="G25" i="43"/>
  <c r="G26" i="43"/>
  <c r="G27" i="43"/>
  <c r="G28" i="43"/>
  <c r="G30" i="43"/>
  <c r="F26" i="28"/>
  <c r="F27" i="28"/>
  <c r="F28" i="28"/>
  <c r="F32" i="28"/>
  <c r="F33" i="28"/>
  <c r="I26" i="28" l="1"/>
  <c r="H26" i="28"/>
  <c r="H33" i="28"/>
  <c r="I33" i="28"/>
  <c r="J32" i="28"/>
  <c r="H32" i="28"/>
  <c r="BK32" i="28" s="1"/>
  <c r="BL32" i="28" s="1"/>
  <c r="I32" i="28"/>
  <c r="H52" i="28"/>
  <c r="I52" i="28"/>
  <c r="H28" i="28"/>
  <c r="I28" i="28"/>
  <c r="J27" i="28"/>
  <c r="H27" i="28"/>
  <c r="I27" i="28"/>
  <c r="R42" i="40"/>
  <c r="R66" i="40"/>
  <c r="R41" i="40"/>
  <c r="R65" i="40"/>
  <c r="R40" i="40"/>
  <c r="R64" i="40"/>
  <c r="R39" i="40"/>
  <c r="R79" i="40"/>
  <c r="R63" i="40"/>
  <c r="R38" i="40"/>
  <c r="R78" i="40"/>
  <c r="R62" i="40"/>
  <c r="R37" i="40"/>
  <c r="R77" i="40"/>
  <c r="R61" i="40"/>
  <c r="R60" i="40"/>
  <c r="R76" i="40"/>
  <c r="R75" i="40"/>
  <c r="R59" i="40"/>
  <c r="R50" i="40"/>
  <c r="R35" i="40"/>
  <c r="R74" i="40"/>
  <c r="R58" i="40"/>
  <c r="R49" i="40"/>
  <c r="R34" i="40"/>
  <c r="R73" i="40"/>
  <c r="R57" i="40"/>
  <c r="R36" i="40"/>
  <c r="R48" i="40"/>
  <c r="R33" i="40"/>
  <c r="R72" i="40"/>
  <c r="R47" i="40"/>
  <c r="R32" i="40"/>
  <c r="R71" i="40"/>
  <c r="R46" i="40"/>
  <c r="R70" i="40"/>
  <c r="R45" i="40"/>
  <c r="R69" i="40"/>
  <c r="R44" i="40"/>
  <c r="R68" i="40"/>
  <c r="R43" i="40"/>
  <c r="R67" i="40"/>
  <c r="J26" i="28"/>
  <c r="J28" i="28"/>
  <c r="J33" i="28"/>
  <c r="I18" i="36"/>
  <c r="F35" i="28"/>
  <c r="K42" i="25"/>
  <c r="F75" i="44"/>
  <c r="B73" i="44"/>
  <c r="J57" i="40"/>
  <c r="S57" i="40" s="1"/>
  <c r="J56" i="40"/>
  <c r="S56" i="40" s="1"/>
  <c r="J35" i="28" l="1"/>
  <c r="I35" i="28"/>
  <c r="H35" i="28"/>
  <c r="H27" i="43"/>
  <c r="H30" i="43"/>
  <c r="H29" i="43"/>
  <c r="H28" i="43"/>
  <c r="H26" i="43"/>
  <c r="H25" i="43"/>
  <c r="H24" i="43"/>
  <c r="H23" i="43"/>
  <c r="Q25" i="40"/>
  <c r="Q24" i="40"/>
  <c r="Q27" i="40"/>
  <c r="Q26" i="40"/>
  <c r="Q29" i="40"/>
  <c r="Q28" i="40"/>
  <c r="Q30" i="40"/>
  <c r="Q56" i="40"/>
  <c r="Q57" i="40"/>
  <c r="K16" i="25"/>
  <c r="M6" i="44"/>
  <c r="M5" i="44"/>
  <c r="M4" i="44"/>
  <c r="I29" i="43" l="1"/>
  <c r="J29" i="43"/>
  <c r="J27" i="43"/>
  <c r="I27" i="43"/>
  <c r="I23" i="43"/>
  <c r="J23" i="43"/>
  <c r="I28" i="43"/>
  <c r="J28" i="43"/>
  <c r="I30" i="43"/>
  <c r="J30" i="43"/>
  <c r="J24" i="43"/>
  <c r="I24" i="43"/>
  <c r="I25" i="43"/>
  <c r="J25" i="43"/>
  <c r="J26" i="43"/>
  <c r="I26" i="43"/>
  <c r="N31" i="40"/>
  <c r="R31" i="40" s="1"/>
  <c r="N23" i="40"/>
  <c r="N22" i="40"/>
  <c r="R22" i="40" s="1"/>
  <c r="N20" i="40"/>
  <c r="N18" i="40"/>
  <c r="R23" i="40" l="1"/>
  <c r="S23" i="40"/>
  <c r="R18" i="40"/>
  <c r="R20" i="40"/>
  <c r="BK26" i="28"/>
  <c r="BL26" i="28" s="1"/>
  <c r="BK33" i="28"/>
  <c r="BL33" i="28" s="1"/>
  <c r="BK27" i="28"/>
  <c r="BL27" i="28" s="1"/>
  <c r="R51" i="40"/>
  <c r="R55" i="40"/>
  <c r="R54" i="40"/>
  <c r="R52" i="40"/>
  <c r="R53" i="40"/>
  <c r="H48" i="43"/>
  <c r="H43" i="43"/>
  <c r="H46" i="43"/>
  <c r="H42" i="43"/>
  <c r="H58" i="43"/>
  <c r="H57" i="43"/>
  <c r="H44" i="43"/>
  <c r="H45" i="43"/>
  <c r="H56" i="43"/>
  <c r="H61" i="43"/>
  <c r="H20" i="43"/>
  <c r="H60" i="43"/>
  <c r="H41" i="43"/>
  <c r="H36" i="43"/>
  <c r="H54" i="43"/>
  <c r="H59" i="43"/>
  <c r="H47" i="43"/>
  <c r="H55" i="43"/>
  <c r="H40" i="43"/>
  <c r="H35" i="43"/>
  <c r="H53" i="43"/>
  <c r="H22" i="43"/>
  <c r="H39" i="43"/>
  <c r="H34" i="43"/>
  <c r="H52" i="43"/>
  <c r="H21" i="43"/>
  <c r="H49" i="43"/>
  <c r="H38" i="43"/>
  <c r="H33" i="43"/>
  <c r="H51" i="43"/>
  <c r="H19" i="43"/>
  <c r="H37" i="43"/>
  <c r="H32" i="43"/>
  <c r="H50" i="43"/>
  <c r="H31" i="43"/>
  <c r="M20" i="40"/>
  <c r="L20" i="40"/>
  <c r="G31" i="43"/>
  <c r="F34" i="28"/>
  <c r="H34" i="28" l="1"/>
  <c r="I34" i="28"/>
  <c r="I31" i="43"/>
  <c r="J31" i="43"/>
  <c r="J34" i="28"/>
  <c r="Q38" i="40"/>
  <c r="Q58" i="40"/>
  <c r="Q45" i="40"/>
  <c r="Q18" i="40"/>
  <c r="Q66" i="40"/>
  <c r="Q31" i="40"/>
  <c r="Q48" i="40"/>
  <c r="Q34" i="40"/>
  <c r="Q42" i="40"/>
  <c r="Q52" i="40"/>
  <c r="Q36" i="40"/>
  <c r="Q77" i="40"/>
  <c r="Q23" i="40"/>
  <c r="Q65" i="40"/>
  <c r="Q74" i="40"/>
  <c r="Q39" i="40"/>
  <c r="Q19" i="40"/>
  <c r="Q59" i="40"/>
  <c r="Q21" i="40"/>
  <c r="Q47" i="40"/>
  <c r="Q68" i="40"/>
  <c r="Q62" i="40"/>
  <c r="Q44" i="40"/>
  <c r="Q54" i="40"/>
  <c r="Q71" i="40"/>
  <c r="Q33" i="40"/>
  <c r="Q79" i="40"/>
  <c r="Q76" i="40"/>
  <c r="Q50" i="40"/>
  <c r="Q43" i="40"/>
  <c r="Q41" i="40"/>
  <c r="Q67" i="40"/>
  <c r="Q46" i="40"/>
  <c r="Q49" i="40"/>
  <c r="Q35" i="40"/>
  <c r="Q32" i="40"/>
  <c r="Q51" i="40"/>
  <c r="Q64" i="40"/>
  <c r="Q22" i="40"/>
  <c r="Q61" i="40"/>
  <c r="Q53" i="40"/>
  <c r="Q37" i="40"/>
  <c r="Q78" i="40"/>
  <c r="Q75" i="40"/>
  <c r="Q40" i="40"/>
  <c r="Q20" i="40"/>
  <c r="Q73" i="40"/>
  <c r="Q70" i="40"/>
  <c r="Q63" i="40"/>
  <c r="Q69" i="40"/>
  <c r="Q60" i="40"/>
  <c r="Q55" i="40"/>
  <c r="Q72" i="40"/>
  <c r="M15" i="28"/>
  <c r="N15" i="28"/>
  <c r="O15" i="28"/>
  <c r="P15" i="28"/>
  <c r="R15" i="28"/>
  <c r="S15" i="28"/>
  <c r="T15" i="28"/>
  <c r="U15" i="28"/>
  <c r="V15" i="28"/>
  <c r="W15" i="28"/>
  <c r="X15" i="28"/>
  <c r="Y15" i="28"/>
  <c r="Z15" i="28"/>
  <c r="AA15" i="28"/>
  <c r="AB15" i="28"/>
  <c r="AC15" i="28"/>
  <c r="AD15" i="28"/>
  <c r="AE15" i="28"/>
  <c r="AF15" i="28"/>
  <c r="AG15" i="28"/>
  <c r="AH15" i="28"/>
  <c r="AI15" i="28"/>
  <c r="AJ15" i="28"/>
  <c r="AK15" i="28"/>
  <c r="AL15" i="28"/>
  <c r="AM15" i="28"/>
  <c r="AN15" i="28"/>
  <c r="AO15" i="28"/>
  <c r="AP15" i="28"/>
  <c r="AQ15" i="28"/>
  <c r="AR15" i="28"/>
  <c r="AS15" i="28"/>
  <c r="AT15" i="28"/>
  <c r="AU15" i="28"/>
  <c r="AV15" i="28"/>
  <c r="AW15" i="28"/>
  <c r="AX15" i="28"/>
  <c r="AY15" i="28"/>
  <c r="AZ15" i="28"/>
  <c r="BA15" i="28"/>
  <c r="BB15" i="28"/>
  <c r="BC15" i="28"/>
  <c r="BD15" i="28"/>
  <c r="BE15" i="28"/>
  <c r="BF15" i="28"/>
  <c r="BG15" i="28"/>
  <c r="BH15" i="28"/>
  <c r="BI15" i="28"/>
  <c r="BJ15" i="28"/>
  <c r="S18" i="28" l="1"/>
  <c r="BB18" i="28"/>
  <c r="K16" i="28"/>
  <c r="K17" i="28" s="1"/>
  <c r="Z18" i="28"/>
  <c r="BK35" i="28"/>
  <c r="BL35" i="28" s="1"/>
  <c r="AV16" i="28"/>
  <c r="AV17" i="28" s="1"/>
  <c r="X16" i="28"/>
  <c r="X17" i="28" s="1"/>
  <c r="W16" i="28"/>
  <c r="W17" i="28" s="1"/>
  <c r="BF16" i="28"/>
  <c r="BF17" i="28" s="1"/>
  <c r="BC16" i="28"/>
  <c r="BC17" i="28" s="1"/>
  <c r="BB16" i="28"/>
  <c r="BB17" i="28" s="1"/>
  <c r="AP16" i="28"/>
  <c r="AP17" i="28" s="1"/>
  <c r="AD16" i="28"/>
  <c r="AD17" i="28" s="1"/>
  <c r="R16" i="28"/>
  <c r="R17" i="28" s="1"/>
  <c r="BH16" i="28"/>
  <c r="BH17" i="28" s="1"/>
  <c r="AJ16" i="28"/>
  <c r="AJ17" i="28" s="1"/>
  <c r="L16" i="28"/>
  <c r="L17" i="28" s="1"/>
  <c r="BG16" i="28"/>
  <c r="BG17" i="28" s="1"/>
  <c r="AI16" i="28"/>
  <c r="AI17" i="28" s="1"/>
  <c r="AT16" i="28"/>
  <c r="AT17" i="28" s="1"/>
  <c r="AQ16" i="28"/>
  <c r="AQ17" i="28" s="1"/>
  <c r="BA16" i="28"/>
  <c r="BA17" i="28" s="1"/>
  <c r="AC16" i="28"/>
  <c r="AC17" i="28" s="1"/>
  <c r="Q16" i="28"/>
  <c r="Q17" i="28" s="1"/>
  <c r="AZ16" i="28"/>
  <c r="AZ17" i="28" s="1"/>
  <c r="AN16" i="28"/>
  <c r="AN17" i="28" s="1"/>
  <c r="AB16" i="28"/>
  <c r="AB17" i="28" s="1"/>
  <c r="P16" i="28"/>
  <c r="P17" i="28" s="1"/>
  <c r="S16" i="28"/>
  <c r="S17" i="28" s="1"/>
  <c r="AY16" i="28"/>
  <c r="AY17" i="28" s="1"/>
  <c r="AM16" i="28"/>
  <c r="AM17" i="28" s="1"/>
  <c r="AA16" i="28"/>
  <c r="AA17" i="28" s="1"/>
  <c r="O16" i="28"/>
  <c r="O17" i="28" s="1"/>
  <c r="BJ16" i="28"/>
  <c r="BJ17" i="28" s="1"/>
  <c r="AX16" i="28"/>
  <c r="AX17" i="28" s="1"/>
  <c r="AL16" i="28"/>
  <c r="AL17" i="28" s="1"/>
  <c r="Z16" i="28"/>
  <c r="Z17" i="28" s="1"/>
  <c r="N16" i="28"/>
  <c r="N17" i="28" s="1"/>
  <c r="AU16" i="28"/>
  <c r="AU17" i="28" s="1"/>
  <c r="AH16" i="28"/>
  <c r="AH17" i="28" s="1"/>
  <c r="AE16" i="28"/>
  <c r="AE17" i="28" s="1"/>
  <c r="AO16" i="28"/>
  <c r="AO17" i="28" s="1"/>
  <c r="BI16" i="28"/>
  <c r="BI17" i="28" s="1"/>
  <c r="AW16" i="28"/>
  <c r="AW17" i="28" s="1"/>
  <c r="AK16" i="28"/>
  <c r="AK17" i="28" s="1"/>
  <c r="Y16" i="28"/>
  <c r="Y17" i="28" s="1"/>
  <c r="M16" i="28"/>
  <c r="M17" i="28" s="1"/>
  <c r="V16" i="28"/>
  <c r="V17" i="28" s="1"/>
  <c r="BE16" i="28"/>
  <c r="BE17" i="28" s="1"/>
  <c r="AS16" i="28"/>
  <c r="AS17" i="28" s="1"/>
  <c r="AG16" i="28"/>
  <c r="AG17" i="28" s="1"/>
  <c r="U16" i="28"/>
  <c r="U17" i="28" s="1"/>
  <c r="BD16" i="28"/>
  <c r="BD17" i="28" s="1"/>
  <c r="AR16" i="28"/>
  <c r="AR17" i="28" s="1"/>
  <c r="AF16" i="28"/>
  <c r="AF17" i="28" s="1"/>
  <c r="T16" i="28"/>
  <c r="T17" i="28" s="1"/>
  <c r="M55" i="40"/>
  <c r="L55" i="40"/>
  <c r="F39" i="44"/>
  <c r="I39" i="44" s="1"/>
  <c r="F38" i="44"/>
  <c r="I38" i="44" s="1"/>
  <c r="B36" i="44"/>
  <c r="AD18" i="28" l="1"/>
  <c r="AC18" i="28"/>
  <c r="AE18" i="28"/>
  <c r="BH18" i="28"/>
  <c r="U18" i="28"/>
  <c r="AG18" i="28"/>
  <c r="AS18" i="28"/>
  <c r="K18" i="28"/>
  <c r="BA18" i="28"/>
  <c r="AA18" i="28"/>
  <c r="AQ18" i="28"/>
  <c r="AM18" i="28"/>
  <c r="X18" i="28"/>
  <c r="BC18" i="28"/>
  <c r="AY18" i="28"/>
  <c r="Q18" i="28"/>
  <c r="BG18" i="28"/>
  <c r="BE18" i="28"/>
  <c r="AV18" i="28"/>
  <c r="AH18" i="28"/>
  <c r="AO18" i="28"/>
  <c r="T18" i="28"/>
  <c r="AI18" i="28"/>
  <c r="M18" i="28"/>
  <c r="AL18" i="28"/>
  <c r="R18" i="28"/>
  <c r="AF18" i="28"/>
  <c r="N18" i="28"/>
  <c r="O18" i="28"/>
  <c r="Y18" i="28"/>
  <c r="P18" i="28"/>
  <c r="AP18" i="28"/>
  <c r="AR18" i="28"/>
  <c r="V18" i="28"/>
  <c r="AK18" i="28"/>
  <c r="AB18" i="28"/>
  <c r="W18" i="28"/>
  <c r="BD18" i="28"/>
  <c r="BF18" i="28"/>
  <c r="AW18" i="28"/>
  <c r="AN18" i="28"/>
  <c r="AJ18" i="28"/>
  <c r="AT18" i="28"/>
  <c r="L18" i="28"/>
  <c r="BI18" i="28"/>
  <c r="AZ18" i="28"/>
  <c r="BJ18" i="28"/>
  <c r="AU18" i="28"/>
  <c r="AX18" i="28"/>
  <c r="BK34" i="28"/>
  <c r="BL34" i="28" s="1"/>
  <c r="BK16" i="28"/>
  <c r="AE6" i="28" s="1"/>
  <c r="BK17" i="28"/>
  <c r="AE7" i="28" s="1"/>
  <c r="F37" i="44"/>
  <c r="I37" i="44" s="1"/>
  <c r="BK18" i="28" l="1"/>
  <c r="AE8" i="28" s="1"/>
  <c r="G36" i="44"/>
  <c r="I55" i="40" s="1"/>
  <c r="J55" i="40" l="1"/>
  <c r="S55" i="40" s="1"/>
  <c r="J22" i="40"/>
  <c r="S22" i="40" s="1"/>
  <c r="M19" i="40"/>
  <c r="L19" i="40"/>
  <c r="M18" i="40"/>
  <c r="L18" i="40"/>
  <c r="J52" i="28" s="1"/>
  <c r="F49" i="44"/>
  <c r="M21" i="40"/>
  <c r="L21" i="40"/>
  <c r="B58" i="44"/>
  <c r="F38" i="28" l="1"/>
  <c r="I38" i="28" l="1"/>
  <c r="H38" i="28"/>
  <c r="BK38" i="28" s="1"/>
  <c r="BL38" i="28" s="1"/>
  <c r="J38" i="28"/>
  <c r="O3" i="43" l="1"/>
  <c r="O4" i="43"/>
  <c r="G52" i="43"/>
  <c r="G53" i="43"/>
  <c r="G54" i="43"/>
  <c r="G55" i="43"/>
  <c r="G56" i="43"/>
  <c r="G57" i="43"/>
  <c r="G58" i="43"/>
  <c r="G59" i="43"/>
  <c r="G60" i="43"/>
  <c r="G61" i="43"/>
  <c r="F64" i="28"/>
  <c r="F63" i="28"/>
  <c r="F62" i="28"/>
  <c r="F60" i="28"/>
  <c r="F59" i="28"/>
  <c r="F58" i="28"/>
  <c r="F57" i="28"/>
  <c r="G51" i="43"/>
  <c r="G50" i="43"/>
  <c r="F56" i="28"/>
  <c r="F55" i="28"/>
  <c r="G39" i="43"/>
  <c r="K53" i="40"/>
  <c r="O28" i="43" l="1"/>
  <c r="O27" i="43"/>
  <c r="O23" i="43"/>
  <c r="O26" i="43"/>
  <c r="O25" i="43"/>
  <c r="O29" i="43"/>
  <c r="O24" i="43"/>
  <c r="O30" i="43"/>
  <c r="O31" i="43"/>
  <c r="J61" i="43"/>
  <c r="I61" i="43"/>
  <c r="J60" i="43"/>
  <c r="I60" i="43"/>
  <c r="I59" i="43"/>
  <c r="J59" i="43"/>
  <c r="J39" i="43"/>
  <c r="I39" i="43"/>
  <c r="I58" i="43"/>
  <c r="J58" i="43"/>
  <c r="J51" i="43"/>
  <c r="I51" i="43"/>
  <c r="I57" i="43"/>
  <c r="J57" i="43"/>
  <c r="J50" i="43"/>
  <c r="I50" i="43"/>
  <c r="H58" i="28"/>
  <c r="BK58" i="28" s="1"/>
  <c r="BL58" i="28" s="1"/>
  <c r="I58" i="28"/>
  <c r="I55" i="43"/>
  <c r="J55" i="43"/>
  <c r="H56" i="28"/>
  <c r="BK56" i="28" s="1"/>
  <c r="BL56" i="28" s="1"/>
  <c r="I56" i="28"/>
  <c r="I59" i="28"/>
  <c r="H59" i="28"/>
  <c r="BK59" i="28" s="1"/>
  <c r="BL59" i="28" s="1"/>
  <c r="J54" i="43"/>
  <c r="I54" i="43"/>
  <c r="H64" i="28"/>
  <c r="BK64" i="28" s="1"/>
  <c r="BL64" i="28" s="1"/>
  <c r="I64" i="28"/>
  <c r="I56" i="43"/>
  <c r="J56" i="43"/>
  <c r="I60" i="28"/>
  <c r="H60" i="28"/>
  <c r="BK60" i="28" s="1"/>
  <c r="BL60" i="28" s="1"/>
  <c r="I53" i="43"/>
  <c r="J53" i="43"/>
  <c r="H55" i="28"/>
  <c r="BK55" i="28" s="1"/>
  <c r="BL55" i="28" s="1"/>
  <c r="I55" i="28"/>
  <c r="H57" i="28"/>
  <c r="BK57" i="28" s="1"/>
  <c r="BL57" i="28" s="1"/>
  <c r="I57" i="28"/>
  <c r="I62" i="28"/>
  <c r="H62" i="28"/>
  <c r="BK62" i="28" s="1"/>
  <c r="BL62" i="28" s="1"/>
  <c r="J52" i="43"/>
  <c r="I52" i="43"/>
  <c r="I63" i="28"/>
  <c r="H63" i="28"/>
  <c r="BK63" i="28" s="1"/>
  <c r="BL63" i="28" s="1"/>
  <c r="J60" i="28"/>
  <c r="J62" i="28"/>
  <c r="N31" i="44"/>
  <c r="J57" i="28"/>
  <c r="J63" i="28"/>
  <c r="J59" i="28"/>
  <c r="J64" i="28"/>
  <c r="J58" i="28"/>
  <c r="F39" i="28"/>
  <c r="F25" i="28"/>
  <c r="F40" i="28"/>
  <c r="F41" i="28"/>
  <c r="G34" i="43"/>
  <c r="G33" i="43"/>
  <c r="G32" i="43"/>
  <c r="G48" i="43"/>
  <c r="F24" i="28"/>
  <c r="G47" i="43"/>
  <c r="F23" i="28"/>
  <c r="F43" i="28"/>
  <c r="F22" i="28"/>
  <c r="F42" i="28"/>
  <c r="F46" i="28"/>
  <c r="J55" i="28"/>
  <c r="J56" i="28"/>
  <c r="Q13" i="25"/>
  <c r="K33" i="25" s="1"/>
  <c r="Q17" i="25" s="1"/>
  <c r="G38" i="43"/>
  <c r="O39" i="43" l="1"/>
  <c r="O54" i="43"/>
  <c r="O61" i="43"/>
  <c r="O56" i="43"/>
  <c r="O53" i="43"/>
  <c r="O59" i="43"/>
  <c r="O58" i="43"/>
  <c r="O51" i="43"/>
  <c r="O50" i="43"/>
  <c r="O60" i="43"/>
  <c r="I23" i="28"/>
  <c r="H23" i="28"/>
  <c r="I47" i="43"/>
  <c r="J47" i="43"/>
  <c r="I24" i="28"/>
  <c r="H24" i="28"/>
  <c r="I48" i="43"/>
  <c r="J48" i="43"/>
  <c r="I32" i="43"/>
  <c r="J32" i="43"/>
  <c r="J38" i="43"/>
  <c r="I38" i="43"/>
  <c r="I33" i="43"/>
  <c r="J33" i="43"/>
  <c r="O55" i="43"/>
  <c r="I34" i="43"/>
  <c r="J34" i="43"/>
  <c r="O52" i="43"/>
  <c r="H40" i="28"/>
  <c r="BK40" i="28" s="1"/>
  <c r="BL40" i="28" s="1"/>
  <c r="I40" i="28"/>
  <c r="I46" i="28"/>
  <c r="H46" i="28"/>
  <c r="BK46" i="28" s="1"/>
  <c r="BL46" i="28" s="1"/>
  <c r="H42" i="28"/>
  <c r="BK42" i="28" s="1"/>
  <c r="BL42" i="28" s="1"/>
  <c r="I42" i="28"/>
  <c r="I25" i="28"/>
  <c r="H25" i="28"/>
  <c r="H22" i="28"/>
  <c r="I22" i="28"/>
  <c r="H41" i="28"/>
  <c r="BK41" i="28" s="1"/>
  <c r="BL41" i="28" s="1"/>
  <c r="I41" i="28"/>
  <c r="I39" i="28"/>
  <c r="H39" i="28"/>
  <c r="BK39" i="28" s="1"/>
  <c r="BL39" i="28" s="1"/>
  <c r="H43" i="28"/>
  <c r="I43" i="28"/>
  <c r="O57" i="43"/>
  <c r="K34" i="25"/>
  <c r="Q18" i="25" s="1"/>
  <c r="M15" i="44" s="1"/>
  <c r="F48" i="44" s="1"/>
  <c r="K32" i="25"/>
  <c r="Q16" i="25" s="1"/>
  <c r="M13" i="44" s="1"/>
  <c r="M14" i="44"/>
  <c r="J24" i="28"/>
  <c r="J22" i="28"/>
  <c r="J23" i="28"/>
  <c r="J39" i="28"/>
  <c r="J36" i="44"/>
  <c r="K36" i="44" s="1"/>
  <c r="O36" i="44" s="1"/>
  <c r="J41" i="28"/>
  <c r="J25" i="28"/>
  <c r="J40" i="28"/>
  <c r="J43" i="28"/>
  <c r="J42" i="28"/>
  <c r="J46" i="28"/>
  <c r="B66" i="44"/>
  <c r="F54" i="44" l="1"/>
  <c r="F47" i="44"/>
  <c r="R29" i="40"/>
  <c r="R30" i="40"/>
  <c r="R27" i="40"/>
  <c r="F74" i="44"/>
  <c r="N21" i="40"/>
  <c r="F70" i="44"/>
  <c r="F69" i="44"/>
  <c r="F68" i="44"/>
  <c r="F67" i="44"/>
  <c r="F46" i="44"/>
  <c r="F60" i="44"/>
  <c r="R28" i="40"/>
  <c r="N19" i="40"/>
  <c r="O48" i="43"/>
  <c r="O33" i="43"/>
  <c r="O38" i="43"/>
  <c r="O32" i="43"/>
  <c r="O47" i="43"/>
  <c r="O34" i="43"/>
  <c r="BK25" i="28"/>
  <c r="BL25" i="28" s="1"/>
  <c r="K34" i="44"/>
  <c r="O34" i="44" s="1"/>
  <c r="G34" i="44"/>
  <c r="B34" i="44"/>
  <c r="M5" i="40"/>
  <c r="M4" i="40"/>
  <c r="R19" i="40" l="1"/>
  <c r="R21" i="40"/>
  <c r="G66" i="44"/>
  <c r="I21" i="40" s="1"/>
  <c r="G73" i="44"/>
  <c r="I27" i="40" s="1"/>
  <c r="G45" i="43"/>
  <c r="F53" i="28"/>
  <c r="G46" i="43"/>
  <c r="G49" i="43"/>
  <c r="F54" i="28"/>
  <c r="K68" i="40"/>
  <c r="S68" i="40" s="1"/>
  <c r="O78" i="44"/>
  <c r="O41" i="44"/>
  <c r="F22" i="44"/>
  <c r="I22" i="44" s="1"/>
  <c r="M12" i="44"/>
  <c r="I46" i="44" s="1"/>
  <c r="F33" i="44"/>
  <c r="I33" i="44" s="1"/>
  <c r="F64" i="44"/>
  <c r="F56" i="44"/>
  <c r="F30" i="44"/>
  <c r="I30" i="44" s="1"/>
  <c r="F26" i="44"/>
  <c r="I26" i="44" s="1"/>
  <c r="F25" i="44"/>
  <c r="I25" i="44" s="1"/>
  <c r="B27" i="44"/>
  <c r="B31" i="44"/>
  <c r="B44" i="44"/>
  <c r="B51" i="44"/>
  <c r="B21" i="44"/>
  <c r="J27" i="40" l="1"/>
  <c r="S27" i="40" s="1"/>
  <c r="I47" i="44"/>
  <c r="I74" i="44"/>
  <c r="I69" i="44"/>
  <c r="I68" i="44"/>
  <c r="I70" i="44"/>
  <c r="I48" i="44"/>
  <c r="I49" i="44"/>
  <c r="I64" i="44"/>
  <c r="I75" i="44"/>
  <c r="I71" i="44"/>
  <c r="I56" i="44"/>
  <c r="I67" i="44"/>
  <c r="I60" i="44"/>
  <c r="H54" i="28"/>
  <c r="I54" i="28"/>
  <c r="I49" i="43"/>
  <c r="J49" i="43"/>
  <c r="I46" i="43"/>
  <c r="J46" i="43"/>
  <c r="H53" i="28"/>
  <c r="I53" i="28"/>
  <c r="I45" i="43"/>
  <c r="J45" i="43"/>
  <c r="J53" i="28"/>
  <c r="F45" i="44"/>
  <c r="J54" i="28"/>
  <c r="F32" i="44"/>
  <c r="I32" i="44" s="1"/>
  <c r="F23" i="44"/>
  <c r="I23" i="44" s="1"/>
  <c r="F24" i="44"/>
  <c r="I24" i="44" s="1"/>
  <c r="F55" i="44"/>
  <c r="I55" i="44" s="1"/>
  <c r="F63" i="44"/>
  <c r="I63" i="44" s="1"/>
  <c r="F61" i="44"/>
  <c r="I61" i="44" s="1"/>
  <c r="F62" i="44"/>
  <c r="I62" i="44" s="1"/>
  <c r="F59" i="44"/>
  <c r="I59" i="44" s="1"/>
  <c r="F28" i="44"/>
  <c r="I28" i="44" s="1"/>
  <c r="F29" i="44"/>
  <c r="I29" i="44" s="1"/>
  <c r="G44" i="44" l="1"/>
  <c r="I45" i="44"/>
  <c r="O46" i="43"/>
  <c r="O49" i="43"/>
  <c r="O45" i="43"/>
  <c r="J73" i="44"/>
  <c r="K73" i="44" s="1"/>
  <c r="O73" i="44" s="1"/>
  <c r="R26" i="40"/>
  <c r="R25" i="40"/>
  <c r="R24" i="40"/>
  <c r="J58" i="44"/>
  <c r="K58" i="44" s="1"/>
  <c r="O58" i="44" s="1"/>
  <c r="G58" i="44"/>
  <c r="I20" i="40" s="1"/>
  <c r="J66" i="44"/>
  <c r="K66" i="44" s="1"/>
  <c r="O66" i="44" s="1"/>
  <c r="J27" i="44"/>
  <c r="K27" i="44" s="1"/>
  <c r="J21" i="44"/>
  <c r="K21" i="44" s="1"/>
  <c r="G31" i="44"/>
  <c r="I53" i="40" s="1"/>
  <c r="J31" i="44"/>
  <c r="K31" i="44" s="1"/>
  <c r="O31" i="44" s="1"/>
  <c r="G21" i="44"/>
  <c r="I51" i="40" s="1"/>
  <c r="I54" i="44"/>
  <c r="F53" i="44"/>
  <c r="I53" i="44" s="1"/>
  <c r="F52" i="44"/>
  <c r="I52" i="44" s="1"/>
  <c r="G27" i="44"/>
  <c r="I52" i="40" s="1"/>
  <c r="O21" i="44" l="1"/>
  <c r="O27" i="44"/>
  <c r="BK43" i="28"/>
  <c r="BL43" i="28" s="1"/>
  <c r="BK54" i="28"/>
  <c r="BL54" i="28" s="1"/>
  <c r="J20" i="40"/>
  <c r="S20" i="40" s="1"/>
  <c r="J51" i="44"/>
  <c r="K51" i="44" s="1"/>
  <c r="O51" i="44" s="1"/>
  <c r="J44" i="44"/>
  <c r="K44" i="44" s="1"/>
  <c r="O44" i="44" s="1"/>
  <c r="G51" i="44"/>
  <c r="I19" i="40" s="1"/>
  <c r="I18" i="40"/>
  <c r="BK24" i="28" l="1"/>
  <c r="BL24" i="28" s="1"/>
  <c r="BK28" i="28"/>
  <c r="BL28" i="28" s="1"/>
  <c r="BK53" i="28"/>
  <c r="BL53" i="28" s="1"/>
  <c r="BK22" i="28"/>
  <c r="BL22" i="28" s="1"/>
  <c r="BK52" i="28"/>
  <c r="BL52" i="28" s="1"/>
  <c r="J21" i="40"/>
  <c r="S21" i="40" s="1"/>
  <c r="O79" i="44"/>
  <c r="O42" i="44"/>
  <c r="G37" i="43"/>
  <c r="G36" i="43"/>
  <c r="G35" i="43"/>
  <c r="J31" i="40"/>
  <c r="S31" i="40" s="1"/>
  <c r="I37" i="43" l="1"/>
  <c r="J37" i="43"/>
  <c r="I35" i="43"/>
  <c r="J35" i="43"/>
  <c r="I36" i="43"/>
  <c r="J36" i="43"/>
  <c r="BK23" i="28"/>
  <c r="BL23" i="28" s="1"/>
  <c r="J18" i="40"/>
  <c r="S18" i="40" s="1"/>
  <c r="J19" i="40"/>
  <c r="S19" i="40" s="1"/>
  <c r="O36" i="43" l="1"/>
  <c r="O35" i="43"/>
  <c r="O37" i="43"/>
  <c r="G22" i="43"/>
  <c r="G19" i="43"/>
  <c r="G52" i="40"/>
  <c r="G50" i="40"/>
  <c r="F36" i="28" s="1"/>
  <c r="G42" i="40"/>
  <c r="I36" i="28" l="1"/>
  <c r="H36" i="28"/>
  <c r="I19" i="43"/>
  <c r="O11" i="43" a="1"/>
  <c r="O11" i="43" s="1"/>
  <c r="O10" i="43" a="1"/>
  <c r="O10" i="43" s="1"/>
  <c r="O9" i="43" a="1"/>
  <c r="O9" i="43" s="1"/>
  <c r="J19" i="43"/>
  <c r="I22" i="43"/>
  <c r="J22" i="43"/>
  <c r="J36" i="28"/>
  <c r="F31" i="28"/>
  <c r="F37" i="28"/>
  <c r="F29" i="28"/>
  <c r="F44" i="28"/>
  <c r="F61" i="28"/>
  <c r="G42" i="43"/>
  <c r="G40" i="43"/>
  <c r="G41" i="43"/>
  <c r="F47" i="28"/>
  <c r="G20" i="43"/>
  <c r="F48" i="28"/>
  <c r="J52" i="40"/>
  <c r="S52" i="40" s="1"/>
  <c r="J53" i="40"/>
  <c r="S53" i="40" s="1"/>
  <c r="J51" i="40"/>
  <c r="S51" i="40" s="1"/>
  <c r="I37" i="28" l="1"/>
  <c r="H37" i="28"/>
  <c r="BK37" i="28" s="1"/>
  <c r="BL37" i="28" s="1"/>
  <c r="J31" i="28"/>
  <c r="H31" i="28"/>
  <c r="I31" i="28"/>
  <c r="O22" i="43"/>
  <c r="I48" i="28"/>
  <c r="H48" i="28"/>
  <c r="BK48" i="28" s="1"/>
  <c r="BL48" i="28" s="1"/>
  <c r="J41" i="43"/>
  <c r="I41" i="43"/>
  <c r="I61" i="28"/>
  <c r="H61" i="28"/>
  <c r="BK61" i="28" s="1"/>
  <c r="BL61" i="28" s="1"/>
  <c r="O7" i="43" a="1"/>
  <c r="O7" i="43" s="1"/>
  <c r="O19" i="43"/>
  <c r="I20" i="43"/>
  <c r="J20" i="43"/>
  <c r="J40" i="43"/>
  <c r="I40" i="43"/>
  <c r="H44" i="28"/>
  <c r="BK44" i="28" s="1"/>
  <c r="BL44" i="28" s="1"/>
  <c r="I44" i="28"/>
  <c r="I47" i="28"/>
  <c r="H47" i="28"/>
  <c r="BK47" i="28" s="1"/>
  <c r="BL47" i="28" s="1"/>
  <c r="J42" i="43"/>
  <c r="I42" i="43"/>
  <c r="J29" i="28"/>
  <c r="H29" i="28"/>
  <c r="I29" i="28"/>
  <c r="BK36" i="28"/>
  <c r="BL36" i="28" s="1"/>
  <c r="J37" i="28"/>
  <c r="J44" i="28"/>
  <c r="J61" i="28"/>
  <c r="J47" i="28"/>
  <c r="J48" i="28"/>
  <c r="G53" i="40"/>
  <c r="O41" i="43" l="1"/>
  <c r="O40" i="43"/>
  <c r="O20" i="43"/>
  <c r="O42" i="43"/>
  <c r="BK29" i="28"/>
  <c r="BL29" i="28" s="1"/>
  <c r="BK31" i="28"/>
  <c r="BL31" i="28" s="1"/>
  <c r="F45" i="28"/>
  <c r="F49" i="28"/>
  <c r="F30" i="28"/>
  <c r="G43" i="43"/>
  <c r="G44" i="43"/>
  <c r="F50" i="28"/>
  <c r="G21" i="43"/>
  <c r="F51" i="28"/>
  <c r="I44" i="43" l="1"/>
  <c r="J44" i="43"/>
  <c r="I49" i="28"/>
  <c r="H49" i="28"/>
  <c r="BK49" i="28" s="1"/>
  <c r="BL49" i="28" s="1"/>
  <c r="I45" i="28"/>
  <c r="H45" i="28"/>
  <c r="BK45" i="28" s="1"/>
  <c r="BL45" i="28" s="1"/>
  <c r="I43" i="43"/>
  <c r="J43" i="43"/>
  <c r="I51" i="28"/>
  <c r="H51" i="28"/>
  <c r="BK51" i="28" s="1"/>
  <c r="BL51" i="28" s="1"/>
  <c r="H30" i="28"/>
  <c r="I30" i="28"/>
  <c r="I21" i="43"/>
  <c r="J21" i="43"/>
  <c r="H50" i="28"/>
  <c r="BK50" i="28" s="1"/>
  <c r="BL50" i="28" s="1"/>
  <c r="I50" i="28"/>
  <c r="J45" i="28"/>
  <c r="J49" i="28"/>
  <c r="J30" i="28"/>
  <c r="J50" i="28"/>
  <c r="J51" i="28"/>
  <c r="O21" i="43" l="1"/>
  <c r="O43" i="43"/>
  <c r="O8" i="43"/>
  <c r="O44" i="43"/>
  <c r="BK30" i="28"/>
  <c r="BL30" i="28" s="1"/>
  <c r="AE9" i="28"/>
  <c r="AE10" i="28"/>
  <c r="O13" i="4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<sst xmlns="http://schemas.openxmlformats.org/spreadsheetml/2006/main" count="1198" uniqueCount="524">
  <si>
    <t>WORK ORDER</t>
  </si>
  <si>
    <t>Truck</t>
  </si>
  <si>
    <t>Contractor</t>
  </si>
  <si>
    <t>S01</t>
  </si>
  <si>
    <t>Equipment</t>
  </si>
  <si>
    <t>ASSET GROUP</t>
  </si>
  <si>
    <t>ASSET SUBGROUP</t>
  </si>
  <si>
    <t>ASSET COMPONENT</t>
  </si>
  <si>
    <t>INFRASTRUCTURE ASSETS</t>
  </si>
  <si>
    <t>ANNUAL MAINTENANCE SCHEDULE</t>
  </si>
  <si>
    <t>Task Code</t>
  </si>
  <si>
    <t>Task Description</t>
  </si>
  <si>
    <t>Frequency</t>
  </si>
  <si>
    <t>Crew Hours per Year</t>
  </si>
  <si>
    <t>January</t>
  </si>
  <si>
    <t>February</t>
  </si>
  <si>
    <t>March</t>
  </si>
  <si>
    <t>April</t>
  </si>
  <si>
    <t>May</t>
  </si>
  <si>
    <t>June</t>
  </si>
  <si>
    <t>July</t>
  </si>
  <si>
    <t>August</t>
  </si>
  <si>
    <t>September</t>
  </si>
  <si>
    <t>October</t>
  </si>
  <si>
    <t>November</t>
  </si>
  <si>
    <t>December</t>
  </si>
  <si>
    <t>SANITARY</t>
  </si>
  <si>
    <t>Annual Sanitary Main Inspection</t>
  </si>
  <si>
    <t>S02</t>
  </si>
  <si>
    <t>Main Flushing and Cleaning</t>
  </si>
  <si>
    <t>S03</t>
  </si>
  <si>
    <t>CCTV Inspection</t>
  </si>
  <si>
    <t>S04</t>
  </si>
  <si>
    <t>Vac Truck</t>
  </si>
  <si>
    <t>WATER</t>
  </si>
  <si>
    <t>W01</t>
  </si>
  <si>
    <t>W02</t>
  </si>
  <si>
    <t>W03</t>
  </si>
  <si>
    <t>W04</t>
  </si>
  <si>
    <t>LS01</t>
  </si>
  <si>
    <t>LS02</t>
  </si>
  <si>
    <t>LS03</t>
  </si>
  <si>
    <t>LS04</t>
  </si>
  <si>
    <t>LS05</t>
  </si>
  <si>
    <t>LS06</t>
  </si>
  <si>
    <t>ANNUAL MAINTENANCE BUDGET</t>
  </si>
  <si>
    <t>Parts &amp; Materials</t>
  </si>
  <si>
    <t>Annual Budget</t>
  </si>
  <si>
    <t>PRV Inspection</t>
  </si>
  <si>
    <t>Forcemain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</si>
  <si>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</si>
  <si>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</si>
  <si>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</si>
  <si>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</si>
  <si>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</si>
  <si>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</si>
  <si>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</si>
  <si>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</si>
  <si>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</si>
  <si>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</si>
  <si>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</si>
  <si>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</si>
  <si>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</si>
  <si>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</si>
  <si>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</si>
  <si>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</si>
  <si>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</si>
  <si>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</si>
  <si>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</si>
  <si>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</si>
  <si>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</si>
  <si>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</si>
  <si>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</si>
  <si>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</si>
  <si>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</si>
  <si>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</si>
  <si>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</si>
  <si>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</si>
  <si>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</si>
  <si>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</si>
  <si>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</si>
  <si>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</si>
  <si>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</si>
  <si>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</si>
  <si>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</si>
  <si>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</si>
  <si>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</si>
  <si>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</si>
  <si>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</si>
  <si>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</si>
  <si>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</si>
  <si>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</si>
  <si>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</si>
  <si>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</si>
  <si>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</si>
  <si>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</si>
  <si>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</si>
  <si>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</si>
  <si>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</si>
  <si>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</si>
  <si>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</si>
  <si>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</si>
  <si>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Main</t>
  </si>
  <si>
    <t>Well</t>
  </si>
  <si>
    <t>Boost Station</t>
  </si>
  <si>
    <t>Lift Station</t>
  </si>
  <si>
    <t>Lagoon</t>
  </si>
  <si>
    <t>Treatment</t>
  </si>
  <si>
    <t>Storage</t>
  </si>
  <si>
    <t>Supply</t>
  </si>
  <si>
    <t>Community Septic Tank</t>
  </si>
  <si>
    <t>Community Septic Field</t>
  </si>
  <si>
    <t>Distribution</t>
  </si>
  <si>
    <t>Collection</t>
  </si>
  <si>
    <t>PRV</t>
  </si>
  <si>
    <t>MATERIAL</t>
  </si>
  <si>
    <t>SIZE</t>
  </si>
  <si>
    <t>DATE OF INSTALLATION</t>
  </si>
  <si>
    <t>CONDITION</t>
  </si>
  <si>
    <t>ASSET INVENTORY - WATERMAINS</t>
  </si>
  <si>
    <t>Asset Inventory - Watermains</t>
  </si>
  <si>
    <t>Asset Inventory - Sanitary Mains</t>
  </si>
  <si>
    <t>Year</t>
  </si>
  <si>
    <t>Location Factor</t>
  </si>
  <si>
    <t>O&amp;M Wage</t>
  </si>
  <si>
    <t>ASSET INVENTORY - SANITARY MAINS</t>
  </si>
  <si>
    <t>Annual Maintenance Schedule</t>
  </si>
  <si>
    <t>Annual Maintenance Budget</t>
  </si>
  <si>
    <t>TABLE OF CONTENTS</t>
  </si>
  <si>
    <t>COMMUNITY SPECIFIC DATA</t>
  </si>
  <si>
    <t>Return to Table of Contents</t>
  </si>
  <si>
    <t>WORK ORDER DATA MASTERLIST</t>
  </si>
  <si>
    <t>TASK DESCRIPTION</t>
  </si>
  <si>
    <t>FREQUENCY (TIMES PER YEAR)</t>
  </si>
  <si>
    <t>Monthly Generator Maintenance</t>
  </si>
  <si>
    <t>ST01</t>
  </si>
  <si>
    <t>ST03</t>
  </si>
  <si>
    <t>ST04</t>
  </si>
  <si>
    <t>ST05</t>
  </si>
  <si>
    <t>EQUIPMENT</t>
  </si>
  <si>
    <t>PARTS AND MATERIALS</t>
  </si>
  <si>
    <t>Labour Rates</t>
  </si>
  <si>
    <t xml:space="preserve">Labour </t>
  </si>
  <si>
    <t>Maintenance Truck</t>
  </si>
  <si>
    <t>GEN01</t>
  </si>
  <si>
    <t>GEN02</t>
  </si>
  <si>
    <t>OTHER</t>
  </si>
  <si>
    <t>Electrical</t>
  </si>
  <si>
    <t>Backup Generator</t>
  </si>
  <si>
    <t xml:space="preserve">Generator Servicing </t>
  </si>
  <si>
    <t>WT01</t>
  </si>
  <si>
    <t>WT02</t>
  </si>
  <si>
    <t>WT03</t>
  </si>
  <si>
    <t>Chlorine Disinfection</t>
  </si>
  <si>
    <t>Daily Inspection of Chlorine Disinfection Treatment System</t>
  </si>
  <si>
    <t>Quarterly inspection and Maintenance of Chlorine System</t>
  </si>
  <si>
    <t>Annual Inspection and Maintenance of Chlorine System</t>
  </si>
  <si>
    <t>WW01</t>
  </si>
  <si>
    <t>WW02</t>
  </si>
  <si>
    <t>WW03</t>
  </si>
  <si>
    <t>Annual groundwater well inspection and Maintenance</t>
  </si>
  <si>
    <t>WW04</t>
  </si>
  <si>
    <t>Periodic (Every 3 years) well assessment</t>
  </si>
  <si>
    <t>BS01</t>
  </si>
  <si>
    <t>Weekly or Daily boost station inspection</t>
  </si>
  <si>
    <t>BS02</t>
  </si>
  <si>
    <t>Monthly booster station inspection and Maintenance</t>
  </si>
  <si>
    <t>BS03</t>
  </si>
  <si>
    <t xml:space="preserve">Annual Boost Station Inspection and Maintenance </t>
  </si>
  <si>
    <t>WS01</t>
  </si>
  <si>
    <t>WS02</t>
  </si>
  <si>
    <t>Monthly Inspection and Maintenance of Storage Facility</t>
  </si>
  <si>
    <t>WS03</t>
  </si>
  <si>
    <t>Quarterly inspection and Maintenance of Storage Facility</t>
  </si>
  <si>
    <t>WS04</t>
  </si>
  <si>
    <t>Annual Inspection and Maintenance of Water Storage Facility</t>
  </si>
  <si>
    <t>WS05</t>
  </si>
  <si>
    <t>Three to Five year inspection and Maintenance of Storage Facility</t>
  </si>
  <si>
    <t>Operator</t>
  </si>
  <si>
    <t>FREQUENCY</t>
  </si>
  <si>
    <t>Annual</t>
  </si>
  <si>
    <t>Weekly</t>
  </si>
  <si>
    <t>Monthly</t>
  </si>
  <si>
    <t>Quarterly</t>
  </si>
  <si>
    <t>Daily</t>
  </si>
  <si>
    <t>As Required</t>
  </si>
  <si>
    <t>Semi-Annual</t>
  </si>
  <si>
    <t>Every 3 Years</t>
  </si>
  <si>
    <t>Every 10 Years</t>
  </si>
  <si>
    <t>TRUCK HOURS</t>
  </si>
  <si>
    <t>CONTRACTOR COST / UNIT</t>
  </si>
  <si>
    <t>CONTRACTOR COST</t>
  </si>
  <si>
    <t>N/A</t>
  </si>
  <si>
    <t>Frequency Data</t>
  </si>
  <si>
    <t>TOTAL ANNUAL BUDGET</t>
  </si>
  <si>
    <t>Maintenance Task</t>
  </si>
  <si>
    <t>SCHEDULE SUMMARY</t>
  </si>
  <si>
    <t>MAINTENANCE PLANING HOURS:</t>
  </si>
  <si>
    <t>NATION ASSET CODE</t>
  </si>
  <si>
    <t>ICMS ASSET CODE</t>
  </si>
  <si>
    <t>LOCATION DESCRIPTION</t>
  </si>
  <si>
    <t>ASSET INVENTORY - SANITARY TREATMENT AND DISPOSAL</t>
  </si>
  <si>
    <t>ASSET INVENTORY - WATER SUPPLY, TREATMENT, AND STORAGE</t>
  </si>
  <si>
    <t>Work Order</t>
  </si>
  <si>
    <t>Update maintenance logs and Forms</t>
  </si>
  <si>
    <t>Check with consumers connected to isolated section</t>
  </si>
  <si>
    <t xml:space="preserve">Isolate section of watermain between two valves </t>
  </si>
  <si>
    <t>Clean valve box and lubricate gears if required</t>
  </si>
  <si>
    <t xml:space="preserve">Paint valve boxes with epoxy yellow </t>
  </si>
  <si>
    <t>Task</t>
  </si>
  <si>
    <t>Unit</t>
  </si>
  <si>
    <t>Time (h)</t>
  </si>
  <si>
    <t>per hydrant</t>
  </si>
  <si>
    <t xml:space="preserve">per valve  </t>
  </si>
  <si>
    <t xml:space="preserve">per valve </t>
  </si>
  <si>
    <t>per valve</t>
  </si>
  <si>
    <t>per km</t>
  </si>
  <si>
    <t>per manhole</t>
  </si>
  <si>
    <t>walk lines - visually inspect mains</t>
  </si>
  <si>
    <t>Inspect hydrant and check for leakage</t>
  </si>
  <si>
    <t>Open hydrant and flush debris</t>
  </si>
  <si>
    <t>Clean and lubricate nozzle threads</t>
  </si>
  <si>
    <t>per inspection</t>
  </si>
  <si>
    <t>Visually inspect manholes and interior of pipes</t>
  </si>
  <si>
    <t>Prepare list of maintenance and repair work required</t>
  </si>
  <si>
    <t>Use rodding equipment to remove accumulated solids</t>
  </si>
  <si>
    <t>per 0.25 manholes</t>
  </si>
  <si>
    <t>Connect and set up hose</t>
  </si>
  <si>
    <t>Flush each main for 5 minutes</t>
  </si>
  <si>
    <t>LINEAR INFRASTRUCTURE MAINTENANCE BREAKDOWN</t>
  </si>
  <si>
    <t>ASSUMPTIONS</t>
  </si>
  <si>
    <t>Total Water Main</t>
  </si>
  <si>
    <t>COMMUNITY DATA</t>
  </si>
  <si>
    <t>km</t>
  </si>
  <si>
    <t>Total Hydrants</t>
  </si>
  <si>
    <t>Total Valves</t>
  </si>
  <si>
    <t>Hydrants</t>
  </si>
  <si>
    <t xml:space="preserve"> /km</t>
  </si>
  <si>
    <t>Manholes</t>
  </si>
  <si>
    <t>Valves</t>
  </si>
  <si>
    <t>Total Manholes</t>
  </si>
  <si>
    <t>Total Time</t>
  </si>
  <si>
    <t>Supervision of CCTV Contractor</t>
  </si>
  <si>
    <t>from 1. ASSET INVENTORY - WATERMAINS</t>
  </si>
  <si>
    <t>from 2. ASSET INVENTORY - SANI MAIN</t>
  </si>
  <si>
    <t xml:space="preserve">Frequency (per year) </t>
  </si>
  <si>
    <t>Cost per km per year</t>
  </si>
  <si>
    <t>TOTAL ANNUAL SANI MAIN MAINTENCE COST PER KM</t>
  </si>
  <si>
    <t>TOTAL ANNUAL WATER MAIN MAINTENCE COST PER KM</t>
  </si>
  <si>
    <t>TOTAL</t>
  </si>
  <si>
    <t>CCTV</t>
  </si>
  <si>
    <t xml:space="preserve">Sanitary System Repairs </t>
  </si>
  <si>
    <t>Water System Repairs</t>
  </si>
  <si>
    <t>Total hours per km per year</t>
  </si>
  <si>
    <t>**Values in YELLOW can be updated based on community specific assumptions</t>
  </si>
  <si>
    <t>Bi-Annual Lagoon Inspection</t>
  </si>
  <si>
    <t>Bi-Annual</t>
  </si>
  <si>
    <t>Septic Tank Pumping</t>
  </si>
  <si>
    <t>Bi-Annual Septic Tank and Field Inspection and Maintenance</t>
  </si>
  <si>
    <t>WO Data Masterlist</t>
  </si>
  <si>
    <t>i.</t>
  </si>
  <si>
    <t>ii.</t>
  </si>
  <si>
    <t>iii.</t>
  </si>
  <si>
    <t>WO Maintenance Hours (For Linear Infrastructure)</t>
  </si>
  <si>
    <t>TOTAL ANNUAL MAINTENANCE PER COMPONENT</t>
  </si>
  <si>
    <t>Annual Maintenance Budget Summary</t>
  </si>
  <si>
    <t>Annual Energy Cost</t>
  </si>
  <si>
    <t>hp</t>
  </si>
  <si>
    <t>WAGES</t>
  </si>
  <si>
    <t>Pump out and flush wet well - vac truck</t>
  </si>
  <si>
    <t>ST02</t>
  </si>
  <si>
    <t>Monthly Lagoon Facility Inspection</t>
  </si>
  <si>
    <t>OUTPUT</t>
  </si>
  <si>
    <t>INPUT</t>
  </si>
  <si>
    <t xml:space="preserve">REFERENCE DATA </t>
  </si>
  <si>
    <t>MHs</t>
  </si>
  <si>
    <t>Drawing Set</t>
  </si>
  <si>
    <t>Notes</t>
  </si>
  <si>
    <t>COMMUNITY INFRASTRUCTURE SUMMARY</t>
  </si>
  <si>
    <t>DI</t>
  </si>
  <si>
    <t>AC</t>
  </si>
  <si>
    <t>Hwy 101 (Homalco Rd. - East)</t>
  </si>
  <si>
    <t>Maintenance Assistant</t>
  </si>
  <si>
    <t>Hours per km</t>
  </si>
  <si>
    <t>Equipment per task</t>
  </si>
  <si>
    <t>Parts&amp;Materials per task</t>
  </si>
  <si>
    <t>Contractor per task</t>
  </si>
  <si>
    <t>Maintenance Planning Hours budgeted at 10% of maintenance hours</t>
  </si>
  <si>
    <t>WT04</t>
  </si>
  <si>
    <t>WT06</t>
  </si>
  <si>
    <t>WT07</t>
  </si>
  <si>
    <t>WT08</t>
  </si>
  <si>
    <t>Water Treatment Plant</t>
  </si>
  <si>
    <t xml:space="preserve">Water Treatment Plant Daily Inspection  </t>
  </si>
  <si>
    <t>Water Treatment Plant Periodic Inspections and Testing</t>
  </si>
  <si>
    <t>Water Treatment Plant Media Addition</t>
  </si>
  <si>
    <t>ST06</t>
  </si>
  <si>
    <t>Sewage Treatment Plant</t>
  </si>
  <si>
    <t>Sewage Treatment Plant Inspection</t>
  </si>
  <si>
    <t>Weekly Effluent Pump Station Inspection and Maintenance</t>
  </si>
  <si>
    <t>Annual Effluent Pump Station Inspection and Maintenance</t>
  </si>
  <si>
    <t>RBC Module Inspection</t>
  </si>
  <si>
    <t>Secondary Clarifiers Inspection and Maintenance</t>
  </si>
  <si>
    <t>ST07</t>
  </si>
  <si>
    <t>ST08</t>
  </si>
  <si>
    <t>ST09</t>
  </si>
  <si>
    <t>ST10</t>
  </si>
  <si>
    <t>ST11</t>
  </si>
  <si>
    <t>ST12</t>
  </si>
  <si>
    <t>ST13</t>
  </si>
  <si>
    <t>ST14</t>
  </si>
  <si>
    <t>Chlorinators and Tank Inspection</t>
  </si>
  <si>
    <t>Annual Chlorinators and Tank Inspection and Maintenance</t>
  </si>
  <si>
    <t>Dechlorinator Inspection and Maintenance</t>
  </si>
  <si>
    <t>Flow Recorder Inspection</t>
  </si>
  <si>
    <t>Outfall Inspection</t>
  </si>
  <si>
    <t>ST15</t>
  </si>
  <si>
    <t>Lift Station Weekly Inspection</t>
  </si>
  <si>
    <t>Lift Station Monthly Inspection</t>
  </si>
  <si>
    <t>Lift Station Quarterly Inspection and Maintenance</t>
  </si>
  <si>
    <t>Lift Station Semi-Annual Inspection and Maintenance</t>
  </si>
  <si>
    <t>Lift Station Annual Inspection and Maintenance</t>
  </si>
  <si>
    <t>WATER AND WASTEWATER INFRASTRUCTURE ASSETS</t>
  </si>
  <si>
    <t>Good</t>
  </si>
  <si>
    <t>Water Treatment Plant Access Rd.</t>
  </si>
  <si>
    <t>Water Treatment Plant Filter Scraping</t>
  </si>
  <si>
    <t>W05</t>
  </si>
  <si>
    <t>Annual Valve Inspection and Maintenance</t>
  </si>
  <si>
    <t>W06</t>
  </si>
  <si>
    <t>PRV Inspection (Contractor)</t>
  </si>
  <si>
    <t>Hydrant Inspection, Maintenance, and Flushing</t>
  </si>
  <si>
    <t>Distribution System Inspection</t>
  </si>
  <si>
    <t>Check for dampness and accumulation of water/ice</t>
  </si>
  <si>
    <t>Check all hydrants/standpipes and clear vegetation</t>
  </si>
  <si>
    <t>Survey residents</t>
  </si>
  <si>
    <t>per kilometer</t>
  </si>
  <si>
    <t>Update maintenance logs and forms</t>
  </si>
  <si>
    <t>Air Release Valve Inspection and Maintenance</t>
  </si>
  <si>
    <t>Total time for 2 person crew</t>
  </si>
  <si>
    <t>1 person crew</t>
  </si>
  <si>
    <t>S05</t>
  </si>
  <si>
    <t>Annual Forcemain Inspection</t>
  </si>
  <si>
    <t>Visually inspect forcemain row</t>
  </si>
  <si>
    <t xml:space="preserve">Inspect cleanout chamber </t>
  </si>
  <si>
    <t>Total Sanitary Gravity Main</t>
  </si>
  <si>
    <t>Total Sanitary Forcemain</t>
  </si>
  <si>
    <t>Row Labels</t>
  </si>
  <si>
    <t>(blank)</t>
  </si>
  <si>
    <t>Grand Total</t>
  </si>
  <si>
    <t>Weekly Totals</t>
  </si>
  <si>
    <t>Sum of Annual Budget</t>
  </si>
  <si>
    <t>Asset Group</t>
  </si>
  <si>
    <t>Asset Component</t>
  </si>
  <si>
    <t xml:space="preserve">Energy Requirements </t>
  </si>
  <si>
    <t>Gas Price</t>
  </si>
  <si>
    <t>Annual Insurance</t>
  </si>
  <si>
    <t>Tank Size</t>
  </si>
  <si>
    <t>TOTAL WATERMAINS</t>
  </si>
  <si>
    <t>TOTAL SANITARY MAINS</t>
  </si>
  <si>
    <t>QUANTITY</t>
  </si>
  <si>
    <t>SYSTEM COMPONENT</t>
  </si>
  <si>
    <t>Reservoir</t>
  </si>
  <si>
    <t>TOTAL ANNUAL ENERGY COSTS</t>
  </si>
  <si>
    <t>ANNUAL ENERGY PER UNIT</t>
  </si>
  <si>
    <t>W15</t>
  </si>
  <si>
    <t>Watermain Flushing</t>
  </si>
  <si>
    <t>Open hydrant and flush for 10 min</t>
  </si>
  <si>
    <t>Attach firehose to hydrant and run to ditch/manhole</t>
  </si>
  <si>
    <t>Clean and lubricate threads, replace port caps</t>
  </si>
  <si>
    <t>Collect hoses, move to next location</t>
  </si>
  <si>
    <t>REQUIRED</t>
  </si>
  <si>
    <t>RECOMMENDED</t>
  </si>
  <si>
    <t>(OUTPUT)</t>
  </si>
  <si>
    <t>Costs per Task</t>
  </si>
  <si>
    <t>Yellow cells:  Input is REQUIRED</t>
  </si>
  <si>
    <t>Orange cells:  Input is recommended, but not required</t>
  </si>
  <si>
    <t xml:space="preserve">SIZE </t>
  </si>
  <si>
    <t>TYPE</t>
  </si>
  <si>
    <t>QUANTITY LINEAR INFRASTRUCTURE</t>
  </si>
  <si>
    <t>QUANTITY NON-LINEAR INFRASTRUCTURE</t>
  </si>
  <si>
    <t>Quantity2</t>
  </si>
  <si>
    <t xml:space="preserve"> /km of Watermain</t>
  </si>
  <si>
    <t xml:space="preserve"> /km of Sanitary Main</t>
  </si>
  <si>
    <t>TOTAL HYDRANTS</t>
  </si>
  <si>
    <t>TOTAL VALVES</t>
  </si>
  <si>
    <t>TOTAL MANHOLES</t>
  </si>
  <si>
    <t xml:space="preserve"> /hr</t>
  </si>
  <si>
    <t>Monthly Lease</t>
  </si>
  <si>
    <t>l</t>
  </si>
  <si>
    <t>MAINTENANCE TRUCK ASSUMPTIONS</t>
  </si>
  <si>
    <t>Annual Working Hours</t>
  </si>
  <si>
    <t>hrs</t>
  </si>
  <si>
    <t>Asset Inventory - Non-Linear Infrastructure</t>
  </si>
  <si>
    <t>UNIT</t>
  </si>
  <si>
    <t>S06</t>
  </si>
  <si>
    <t>S07</t>
  </si>
  <si>
    <t>Backflow Preventor</t>
  </si>
  <si>
    <t>Annual Backflow Preventor Inspection and Maintenance</t>
  </si>
  <si>
    <t>Air Release Valve</t>
  </si>
  <si>
    <t>Annual Sanitary Air Release Valve Inspection and Maintenance</t>
  </si>
  <si>
    <t>W07</t>
  </si>
  <si>
    <t>W08</t>
  </si>
  <si>
    <t>W09</t>
  </si>
  <si>
    <t>W10</t>
  </si>
  <si>
    <t>W11</t>
  </si>
  <si>
    <t>W12</t>
  </si>
  <si>
    <t>W14</t>
  </si>
  <si>
    <t>Winterizing Water System</t>
  </si>
  <si>
    <t>Test operation and condition of each hydrant</t>
  </si>
  <si>
    <t xml:space="preserve"> Hours per Task</t>
  </si>
  <si>
    <t>Watermain Spot Repairs</t>
  </si>
  <si>
    <t>Curb Box and Curb Stop Repairs</t>
  </si>
  <si>
    <t>Fire Hydrant and Standpipe Test</t>
  </si>
  <si>
    <t>3 Times per Year</t>
  </si>
  <si>
    <t>As required</t>
  </si>
  <si>
    <t>Valve Repair</t>
  </si>
  <si>
    <t>Hydrant Repair (General)</t>
  </si>
  <si>
    <t>Hydrant Painting</t>
  </si>
  <si>
    <t>Weekly Inspection of Water Storage Facility</t>
  </si>
  <si>
    <t>Weekly Groundwater Well Inspection</t>
  </si>
  <si>
    <t>Includes Wage Burden</t>
  </si>
  <si>
    <t>Enter community rate or rate from calculation below</t>
  </si>
  <si>
    <t>Enter in "Maintenance Truck" above</t>
  </si>
  <si>
    <t>Maintenance Truck Hourly Rate</t>
  </si>
  <si>
    <t>Quantity Data</t>
  </si>
  <si>
    <t>Air Valve</t>
  </si>
  <si>
    <t xml:space="preserve">Chlorine Disinfection </t>
  </si>
  <si>
    <t>SYSTEM</t>
  </si>
  <si>
    <t>UNITS</t>
  </si>
  <si>
    <t>m3</t>
  </si>
  <si>
    <t>Diameter</t>
  </si>
  <si>
    <t>Volume</t>
  </si>
  <si>
    <t>Power</t>
  </si>
  <si>
    <t xml:space="preserve">m </t>
  </si>
  <si>
    <t>m</t>
  </si>
  <si>
    <t>Area</t>
  </si>
  <si>
    <t>m2</t>
  </si>
  <si>
    <t>Flow Rate</t>
  </si>
  <si>
    <t>m3/s</t>
  </si>
  <si>
    <t>UNITS2</t>
  </si>
  <si>
    <t>Blue cells:  No input required, cells will auto-populate</t>
  </si>
  <si>
    <t xml:space="preserve">Assumed Total </t>
  </si>
  <si>
    <t>A N N U A L    C A L E N D A R</t>
  </si>
  <si>
    <t>Monthly groundwater well inspection and Maintenance</t>
  </si>
  <si>
    <t xml:space="preserve">WO Required? </t>
  </si>
  <si>
    <t>TASK CODE</t>
  </si>
  <si>
    <t>ST23</t>
  </si>
  <si>
    <t>Annual Rock Filter Inspection</t>
  </si>
  <si>
    <t>ST24</t>
  </si>
  <si>
    <t>Mechanical Aerators Inspection and Maintenance</t>
  </si>
  <si>
    <t>Week Days</t>
  </si>
  <si>
    <t>ST25</t>
  </si>
  <si>
    <t>ST26</t>
  </si>
  <si>
    <t>Weekly Weir and Bypass Chamber Inspection</t>
  </si>
  <si>
    <t>ST27</t>
  </si>
  <si>
    <t>Monthly Weir and Bypass Chamber Inspection and Maintenance</t>
  </si>
  <si>
    <t>ST28</t>
  </si>
  <si>
    <t>Quarterly Weir and Bypass Chambers Inspection &amp; Maintenance</t>
  </si>
  <si>
    <t>ST29</t>
  </si>
  <si>
    <t xml:space="preserve">Effluent Quality Check </t>
  </si>
  <si>
    <t>ST30</t>
  </si>
  <si>
    <t xml:space="preserve">Effluent Leakage Check </t>
  </si>
  <si>
    <t>Conduct W04 Hydrant Inspection and Maintenance</t>
  </si>
  <si>
    <t>With W01</t>
  </si>
  <si>
    <t>Quarterly Septic Tank Inspection</t>
  </si>
  <si>
    <t>Operator 2</t>
  </si>
  <si>
    <t>Main Operator Weekly Hours</t>
  </si>
  <si>
    <t>TOTAL HOURS</t>
  </si>
  <si>
    <t>ANNUAL HOURS</t>
  </si>
  <si>
    <t>OPERATOR 1</t>
  </si>
  <si>
    <t xml:space="preserve">OPERATOR 2 </t>
  </si>
  <si>
    <t>check</t>
  </si>
  <si>
    <t>OPERATOR HOURS per TASK</t>
  </si>
  <si>
    <t>200</t>
  </si>
  <si>
    <t>200mm Asbestos Concrete</t>
  </si>
  <si>
    <t>TOTAL WATER AND WASTEWATER O&amp;M</t>
  </si>
  <si>
    <t>per cleanout</t>
  </si>
  <si>
    <t>TOTAL FORCEMAINS</t>
  </si>
  <si>
    <t>SANITARY MAIN SUMMARY</t>
  </si>
  <si>
    <t>434300-01</t>
  </si>
  <si>
    <t>Well to Reservoir</t>
  </si>
  <si>
    <t>NAT-W-002</t>
  </si>
  <si>
    <t>NAT-SM-001</t>
  </si>
  <si>
    <t>NAT-WT-001</t>
  </si>
  <si>
    <t>ST16</t>
  </si>
  <si>
    <t>Flume Chamber</t>
  </si>
  <si>
    <t>Bi-Weekly</t>
  </si>
  <si>
    <t>ST17</t>
  </si>
  <si>
    <t>Monthly Influent Screen Inspection</t>
  </si>
  <si>
    <t>ST18</t>
  </si>
  <si>
    <t>Monthly Spray Pump Inspection</t>
  </si>
  <si>
    <t>ST19</t>
  </si>
  <si>
    <t>Quarterly Chemical Dosing Pump Maintenance</t>
  </si>
  <si>
    <t>ST20</t>
  </si>
  <si>
    <t>Semi-Annual Flocculator Tank Maintenance</t>
  </si>
  <si>
    <t>ST21</t>
  </si>
  <si>
    <t>Semi-Annual Filter Maintenance</t>
  </si>
  <si>
    <t>ST22</t>
  </si>
  <si>
    <t>Semi-Annual Chemical Dosing Pump Maintenance</t>
  </si>
  <si>
    <t xml:space="preserve"> </t>
  </si>
  <si>
    <t xml:space="preserve">  Total</t>
  </si>
  <si>
    <t>OPERATOR 3</t>
  </si>
  <si>
    <t>Operator 3</t>
  </si>
  <si>
    <t>Operator 1</t>
  </si>
  <si>
    <t>For water and wastewater maintenance only</t>
  </si>
  <si>
    <t>Suggested Work Order List</t>
  </si>
  <si>
    <t>6 times/year</t>
  </si>
  <si>
    <t>Every 6 years</t>
  </si>
  <si>
    <t>Every 5 years</t>
  </si>
  <si>
    <t>LIST OF WORK ORDERS:</t>
  </si>
  <si>
    <t>Paint hydrant if required (See W14)</t>
  </si>
  <si>
    <t>ANNUAL COST PER UNIT</t>
  </si>
  <si>
    <t>YES</t>
  </si>
  <si>
    <t>LENGTH (m)</t>
  </si>
  <si>
    <t>Annual Budget per Unit</t>
  </si>
  <si>
    <t>Sum of LENGTH (m)</t>
  </si>
  <si>
    <t xml:space="preserve">Hwy 100 </t>
  </si>
  <si>
    <t>from TABLE OF CONTENTS - Community Infrastructure Sumary</t>
  </si>
  <si>
    <t xml:space="preserve">Sewage Treatment </t>
  </si>
  <si>
    <t>Sewage Treatment</t>
  </si>
  <si>
    <t>Front Street</t>
  </si>
  <si>
    <t>NAT-ST-001</t>
  </si>
  <si>
    <t>Duplex</t>
  </si>
  <si>
    <t xml:space="preserve">Expose and check all valve boxes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</si>
</sst>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
    <numFmt numFmtId="165" formatCode="_(&quot;$&quot;* #,##0.0_);_(&quot;$&quot;* \(#,##0.0\);_(&quot;$&quot;* &quot;-&quot;?_);_(@_)"/>
    <numFmt numFmtId="166" formatCode="[$-409]d\-mmm\-yyyy;@"/>
    <numFmt numFmtId="167" formatCode="&quot;$&quot;#,##0.00"/>
    <numFmt numFmtId="168" formatCode="yyyy\-mm\-dd;@"/>
    <numFmt numFmtId="169" formatCode="yyyy\-mm\-dd"/>
  </numFmts>
  <fonts count="33" x14ac:knownFonts="1">
    <font>
      <sz val="11"/>
      <color theme="1"/>
      <name val="Calibri"/>
      <family val="2"/>
      <scheme val="minor"/>
    </font>
    <font>
      <u/>
      <sz val="11"/>
      <color theme="1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1"/>
      <color theme="0"/>
      <name val="Calibri"/>
      <family val="2"/>
      <scheme val="minor"/>
    </font>
    <font>
      <sz val="11"/>
      <color rgb="FFFF0000"/>
      <name val="Calibri"/>
      <family val="2"/>
      <scheme val="minor"/>
    </font>
    <font>
      <u/>
      <sz val="11"/>
      <color theme="10"/>
      <name val="Calibri"/>
      <family val="2"/>
      <scheme val="minor"/>
    </font>
    <font>
      <b/>
      <u/>
      <sz val="11"/>
      <color theme="10"/>
      <name val="Calibri"/>
      <family val="2"/>
      <scheme val="minor"/>
    </font>
    <font>
      <sz val="8"/>
      <name val="Calibri"/>
      <family val="2"/>
      <scheme val="minor"/>
    </font>
    <font>
      <b/>
      <u/>
      <sz val="11"/>
      <color theme="1"/>
      <name val="Calibri"/>
      <family val="2"/>
      <scheme val="minor"/>
    </font>
    <font>
      <b/>
      <u/>
      <sz val="12"/>
      <color theme="1"/>
      <name val="Calibri"/>
      <family val="2"/>
      <scheme val="minor"/>
    </font>
    <font>
      <sz val="12"/>
      <color theme="1"/>
      <name val="Calibri"/>
      <family val="2"/>
      <scheme val="minor"/>
    </font>
    <font>
      <b/>
      <sz val="10"/>
      <color theme="1"/>
      <name val="Calibri"/>
      <family val="2"/>
      <scheme val="minor"/>
    </font>
    <font>
      <b/>
      <sz val="11"/>
      <color theme="3" tint="-0.249977111117893"/>
      <name val="Calibri"/>
      <family val="2"/>
      <scheme val="minor"/>
    </font>
    <font>
      <i/>
      <sz val="11"/>
      <color theme="1"/>
      <name val="Calibri"/>
      <family val="2"/>
      <scheme val="minor"/>
    </font>
    <font>
      <b/>
      <i/>
      <sz val="11"/>
      <color theme="1"/>
      <name val="Calibri"/>
      <family val="2"/>
      <scheme val="minor"/>
    </font>
    <font>
      <i/>
      <sz val="10"/>
      <color theme="1"/>
      <name val="Calibri"/>
      <family val="2"/>
      <scheme val="minor"/>
    </font>
    <font>
      <b/>
      <sz val="11"/>
      <name val="Calibri"/>
      <family val="2"/>
      <scheme val="minor"/>
    </font>
    <font>
      <sz val="11"/>
      <color rgb="FF000000"/>
      <name val="Calibri"/>
      <family val="2"/>
      <scheme val="minor"/>
    </font>
    <font>
      <sz val="11"/>
      <color theme="3" tint="-0.249977111117893"/>
      <name val="Calibri"/>
      <family val="2"/>
      <scheme val="minor"/>
    </font>
    <font>
      <sz val="11"/>
      <name val="Calibri"/>
      <family val="2"/>
      <scheme val="minor"/>
    </font>
    <font>
      <sz val="11"/>
      <color theme="0"/>
      <name val="Calibri"/>
      <family val="2"/>
      <scheme val="minor"/>
    </font>
    <font>
      <i/>
      <sz val="12"/>
      <color theme="1"/>
      <name val="Calibri"/>
      <family val="2"/>
      <scheme val="minor"/>
    </font>
    <font>
      <b/>
      <sz val="8"/>
      <color theme="1"/>
      <name val="Calibri"/>
      <family val="2"/>
      <scheme val="minor"/>
    </font>
    <font>
      <sz val="14"/>
      <color theme="1"/>
      <name val="Calibri"/>
      <family val="2"/>
      <scheme val="minor"/>
    </font>
    <font>
      <i/>
      <sz val="9"/>
      <color theme="1"/>
      <name val="Calibri"/>
      <family val="2"/>
      <scheme val="minor"/>
    </font>
    <font>
      <sz val="10"/>
      <name val="Arial"/>
      <family val="2"/>
    </font>
    <font>
      <i/>
      <sz val="10"/>
      <name val="Arial"/>
      <family val="2"/>
    </font>
    <font>
      <i/>
      <sz val="11"/>
      <color theme="3" tint="-0.249977111117893"/>
      <name val="Calibri"/>
      <family val="2"/>
      <scheme val="minor"/>
    </font>
    <font>
      <sz val="9"/>
      <color theme="1"/>
      <name val="Calibri"/>
      <family val="2"/>
      <scheme val="minor"/>
    </font>
    <font>
      <u/>
      <sz val="9"/>
      <color theme="10"/>
      <name val="Calibri"/>
      <family val="2"/>
      <scheme val="minor"/>
    </font>
  </fonts>
  <fills count="22">
    <fill>
      <patternFill patternType="none"/>
    </fill>
    <fill>
      <patternFill patternType="gray125"/>
    </fill>
    <fill>
      <patternFill patternType="solid">
        <fgColor theme="8" tint="0.39997558519241921"/>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7" tint="-0.249977111117893"/>
        <bgColor indexed="64"/>
      </patternFill>
    </fill>
  </fills>
  <borders count="51">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theme="8" tint="0.39997558519241921"/>
      </top>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theme="8" tint="0.39997558519241921"/>
      </top>
      <bottom style="thin">
        <color theme="8" tint="0.39997558519241921"/>
      </bottom>
      <diagonal/>
    </border>
    <border>
      <left style="thin">
        <color theme="8" tint="0.39997558519241921"/>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44" fontId="2" fillId="0" borderId="0" applyFont="0" applyFill="0" applyBorder="0" applyAlignment="0" applyProtection="0"/>
    <xf numFmtId="0" fontId="2" fillId="0" borderId="0"/>
    <xf numFmtId="0" fontId="8" fillId="0" borderId="0" applyNumberFormat="0" applyFill="0" applyBorder="0" applyAlignment="0" applyProtection="0"/>
  </cellStyleXfs>
  <cellXfs count="473">
    <xf numFmtId="0" fontId="0" fillId="0" borderId="0" xfId="0"/>
    <xf numFmtId="0" fontId="4" fillId="0" borderId="0" xfId="0" applyFont="1"/>
    <xf numFmtId="0" fontId="0" fillId="0" borderId="0" xfId="0" applyAlignment="1">
      <alignment horizontal="center"/>
    </xf>
    <xf numFmtId="0" fontId="0" fillId="0" borderId="0" xfId="0"/>
    <xf numFmtId="0" fontId="3" fillId="2" borderId="13" xfId="0" applyFont="1" applyFill="1" applyBorder="1" applyAlignment="1">
      <alignment vertical="center"/>
    </xf>
    <xf numFmtId="0" fontId="3" fillId="2" borderId="13" xfId="0" applyFont="1" applyFill="1" applyBorder="1" applyAlignment="1">
      <alignment horizontal="center"/>
    </xf>
    <xf numFmtId="0" fontId="3" fillId="0" borderId="0" xfId="0" applyFont="1" applyAlignment="1">
      <alignment horizontal="left" vertical="center" wrapText="1"/>
    </xf>
    <xf numFmtId="0" fontId="0" fillId="0" borderId="0" xfId="0" applyAlignment="1">
      <alignment horizontal="left"/>
    </xf>
    <xf numFmtId="0" fontId="0" fillId="0" borderId="0" xfId="0" applyNumberFormat="1"/>
    <xf numFmtId="44" fontId="0" fillId="0" borderId="0" xfId="3" applyFont="1"/>
    <xf numFmtId="0" fontId="0" fillId="0" borderId="0" xfId="0" applyFill="1"/>
    <xf numFmtId="0" fontId="6" fillId="0" borderId="22" xfId="0" applyFont="1" applyFill="1" applyBorder="1" applyAlignment="1">
      <alignment horizontal="left" vertical="center" wrapText="1"/>
    </xf>
    <xf numFmtId="0" fontId="0" fillId="4" borderId="16" xfId="0" applyFill="1" applyBorder="1"/>
    <xf numFmtId="0" fontId="0" fillId="4" borderId="0" xfId="0" applyFill="1" applyBorder="1"/>
    <xf numFmtId="0" fontId="0" fillId="4" borderId="17" xfId="0" applyFill="1" applyBorder="1"/>
    <xf numFmtId="0" fontId="0" fillId="4" borderId="18" xfId="0" applyFill="1" applyBorder="1"/>
    <xf numFmtId="0" fontId="0" fillId="4" borderId="21" xfId="0" applyFill="1" applyBorder="1"/>
    <xf numFmtId="0" fontId="0" fillId="4" borderId="19" xfId="0" applyFill="1" applyBorder="1"/>
    <xf numFmtId="0" fontId="5" fillId="4" borderId="14" xfId="0" applyFont="1" applyFill="1" applyBorder="1" applyAlignment="1">
      <alignment vertical="center"/>
    </xf>
    <xf numFmtId="0" fontId="5" fillId="4" borderId="20" xfId="0" applyFont="1" applyFill="1" applyBorder="1" applyAlignment="1">
      <alignment vertical="center"/>
    </xf>
    <xf numFmtId="0" fontId="5" fillId="4" borderId="15" xfId="0" applyFont="1" applyFill="1" applyBorder="1" applyAlignment="1">
      <alignment vertical="center"/>
    </xf>
    <xf numFmtId="0" fontId="0" fillId="4" borderId="16" xfId="0" applyFill="1" applyBorder="1" applyAlignment="1">
      <alignment horizontal="right"/>
    </xf>
    <xf numFmtId="0" fontId="9" fillId="0" borderId="4" xfId="5" applyFont="1" applyFill="1" applyBorder="1" applyAlignment="1">
      <alignment wrapText="1"/>
    </xf>
    <xf numFmtId="0" fontId="8" fillId="4" borderId="0" xfId="5" applyFill="1"/>
    <xf numFmtId="0" fontId="0" fillId="0" borderId="0" xfId="0"/>
    <xf numFmtId="0" fontId="0" fillId="0" borderId="0" xfId="0" applyFill="1" applyBorder="1"/>
    <xf numFmtId="0" fontId="0" fillId="7" borderId="0" xfId="0" applyFill="1"/>
    <xf numFmtId="0" fontId="0" fillId="7" borderId="0" xfId="0" applyFill="1" applyAlignment="1">
      <alignment horizontal="left"/>
    </xf>
    <xf numFmtId="0" fontId="0" fillId="0" borderId="0" xfId="0" applyNumberFormat="1" applyAlignment="1">
      <alignment horizontal="center"/>
    </xf>
    <xf numFmtId="0" fontId="9" fillId="0" borderId="1" xfId="5" applyFont="1" applyFill="1" applyBorder="1" applyAlignment="1">
      <alignment wrapText="1"/>
    </xf>
    <xf numFmtId="2" fontId="0" fillId="0" borderId="0" xfId="0" applyNumberFormat="1"/>
    <xf numFmtId="0" fontId="11" fillId="0" borderId="14" xfId="0" applyFont="1" applyBorder="1"/>
    <xf numFmtId="0" fontId="3" fillId="0" borderId="15" xfId="0" applyFont="1" applyBorder="1"/>
    <xf numFmtId="0" fontId="0" fillId="0" borderId="16" xfId="0" applyBorder="1"/>
    <xf numFmtId="44" fontId="0" fillId="0" borderId="17" xfId="3" applyFont="1" applyBorder="1"/>
    <xf numFmtId="0" fontId="0" fillId="0" borderId="18" xfId="0" applyBorder="1"/>
    <xf numFmtId="44" fontId="0" fillId="0" borderId="19" xfId="3" applyFont="1" applyBorder="1"/>
    <xf numFmtId="44" fontId="0" fillId="0" borderId="0" xfId="0" applyNumberFormat="1"/>
    <xf numFmtId="1" fontId="0" fillId="0" borderId="0" xfId="0" applyNumberFormat="1"/>
    <xf numFmtId="0" fontId="0" fillId="9" borderId="0" xfId="0" applyFill="1"/>
    <xf numFmtId="1" fontId="0" fillId="0" borderId="0" xfId="0" applyNumberFormat="1" applyAlignment="1">
      <alignment horizontal="center"/>
    </xf>
    <xf numFmtId="0" fontId="3" fillId="2" borderId="13" xfId="0" applyFont="1" applyFill="1" applyBorder="1" applyAlignment="1">
      <alignment horizontal="center" vertical="center"/>
    </xf>
    <xf numFmtId="44" fontId="0" fillId="0" borderId="0" xfId="3" applyNumberFormat="1" applyFont="1"/>
    <xf numFmtId="1" fontId="0" fillId="9" borderId="0" xfId="0" applyNumberFormat="1" applyFill="1"/>
    <xf numFmtId="0" fontId="3" fillId="2" borderId="23" xfId="0" applyFont="1" applyFill="1" applyBorder="1" applyAlignment="1">
      <alignment vertical="center"/>
    </xf>
    <xf numFmtId="0" fontId="0" fillId="0" borderId="0" xfId="0" applyBorder="1"/>
    <xf numFmtId="0" fontId="0" fillId="0" borderId="17" xfId="0" applyBorder="1"/>
    <xf numFmtId="0" fontId="6" fillId="0" borderId="0" xfId="0" applyFont="1" applyFill="1" applyBorder="1" applyAlignment="1">
      <alignment horizontal="left" vertical="center" wrapText="1"/>
    </xf>
    <xf numFmtId="0" fontId="12" fillId="6" borderId="14" xfId="0" applyFont="1" applyFill="1" applyBorder="1"/>
    <xf numFmtId="0" fontId="4" fillId="6" borderId="18" xfId="0" applyFont="1" applyFill="1" applyBorder="1"/>
    <xf numFmtId="44" fontId="4" fillId="6" borderId="19" xfId="0" applyNumberFormat="1" applyFont="1" applyFill="1" applyBorder="1"/>
    <xf numFmtId="0" fontId="3" fillId="0" borderId="0" xfId="0" applyFont="1"/>
    <xf numFmtId="0" fontId="0" fillId="0" borderId="23" xfId="0" applyBorder="1"/>
    <xf numFmtId="0" fontId="0" fillId="0" borderId="4" xfId="0" applyBorder="1"/>
    <xf numFmtId="0" fontId="3" fillId="0" borderId="0" xfId="0" applyFont="1" applyBorder="1"/>
    <xf numFmtId="0" fontId="3" fillId="10" borderId="0" xfId="0" applyFont="1" applyFill="1"/>
    <xf numFmtId="1" fontId="3" fillId="10" borderId="0" xfId="0" applyNumberFormat="1" applyFont="1" applyFill="1"/>
    <xf numFmtId="0" fontId="3" fillId="0" borderId="0" xfId="0" applyFont="1" applyFill="1"/>
    <xf numFmtId="0" fontId="16" fillId="0" borderId="0" xfId="0" applyFont="1" applyFill="1" applyBorder="1"/>
    <xf numFmtId="0" fontId="3" fillId="13" borderId="0" xfId="0" applyFont="1" applyFill="1"/>
    <xf numFmtId="1" fontId="3" fillId="13" borderId="0" xfId="0" applyNumberFormat="1" applyFont="1" applyFill="1"/>
    <xf numFmtId="0" fontId="3" fillId="0" borderId="23" xfId="0" applyFont="1" applyFill="1" applyBorder="1"/>
    <xf numFmtId="0" fontId="0" fillId="0" borderId="23" xfId="0" applyFill="1" applyBorder="1"/>
    <xf numFmtId="1" fontId="0" fillId="0" borderId="23" xfId="0" applyNumberFormat="1" applyFill="1" applyBorder="1"/>
    <xf numFmtId="0" fontId="0" fillId="14" borderId="23" xfId="0" applyFill="1" applyBorder="1"/>
    <xf numFmtId="0" fontId="3" fillId="14" borderId="23" xfId="0" applyFont="1" applyFill="1" applyBorder="1" applyAlignment="1">
      <alignment horizontal="right"/>
    </xf>
    <xf numFmtId="44" fontId="3" fillId="14" borderId="23" xfId="0" applyNumberFormat="1" applyFont="1" applyFill="1" applyBorder="1"/>
    <xf numFmtId="0" fontId="0" fillId="14" borderId="16" xfId="0" applyFill="1" applyBorder="1"/>
    <xf numFmtId="0" fontId="0" fillId="14" borderId="0" xfId="0" applyFill="1" applyBorder="1"/>
    <xf numFmtId="0" fontId="3" fillId="14" borderId="16" xfId="0" applyFont="1" applyFill="1" applyBorder="1"/>
    <xf numFmtId="0" fontId="3" fillId="14" borderId="0" xfId="0" applyFont="1" applyFill="1" applyBorder="1"/>
    <xf numFmtId="0" fontId="0" fillId="14" borderId="25" xfId="0" applyFill="1" applyBorder="1"/>
    <xf numFmtId="0" fontId="0" fillId="15" borderId="16" xfId="0" applyFill="1" applyBorder="1"/>
    <xf numFmtId="0" fontId="0" fillId="15" borderId="0" xfId="0" applyFill="1" applyBorder="1"/>
    <xf numFmtId="0" fontId="0" fillId="15" borderId="27" xfId="0" applyFill="1" applyBorder="1"/>
    <xf numFmtId="0" fontId="0" fillId="15" borderId="28" xfId="0" applyFill="1" applyBorder="1"/>
    <xf numFmtId="0" fontId="3" fillId="15" borderId="28" xfId="0" applyFont="1" applyFill="1" applyBorder="1" applyAlignment="1">
      <alignment horizontal="right"/>
    </xf>
    <xf numFmtId="44" fontId="0" fillId="0" borderId="0" xfId="3" applyFont="1" applyBorder="1"/>
    <xf numFmtId="44" fontId="3" fillId="14" borderId="0" xfId="0" applyNumberFormat="1" applyFont="1" applyFill="1" applyBorder="1"/>
    <xf numFmtId="0" fontId="3" fillId="0" borderId="0" xfId="0" applyFont="1" applyBorder="1" applyAlignment="1">
      <alignment horizontal="right"/>
    </xf>
    <xf numFmtId="44" fontId="3" fillId="15" borderId="0" xfId="0" applyNumberFormat="1" applyFont="1" applyFill="1" applyBorder="1"/>
    <xf numFmtId="44" fontId="0" fillId="14" borderId="0" xfId="3" applyFont="1" applyFill="1" applyBorder="1"/>
    <xf numFmtId="44" fontId="0" fillId="14" borderId="17" xfId="3" applyFont="1" applyFill="1" applyBorder="1"/>
    <xf numFmtId="44" fontId="3" fillId="14" borderId="26" xfId="3" applyFont="1" applyFill="1" applyBorder="1"/>
    <xf numFmtId="44" fontId="0" fillId="15" borderId="0" xfId="3" applyFont="1" applyFill="1" applyBorder="1"/>
    <xf numFmtId="44" fontId="0" fillId="15" borderId="17" xfId="3" applyFont="1" applyFill="1" applyBorder="1"/>
    <xf numFmtId="44" fontId="0" fillId="15" borderId="28" xfId="0" applyNumberFormat="1" applyFill="1" applyBorder="1"/>
    <xf numFmtId="44" fontId="0" fillId="15" borderId="28" xfId="3" applyFont="1" applyFill="1" applyBorder="1"/>
    <xf numFmtId="44" fontId="3" fillId="15" borderId="29" xfId="0" applyNumberFormat="1" applyFont="1" applyFill="1" applyBorder="1"/>
    <xf numFmtId="44" fontId="0" fillId="0" borderId="0" xfId="3" applyNumberFormat="1" applyFont="1" applyFill="1" applyBorder="1"/>
    <xf numFmtId="0" fontId="3" fillId="9" borderId="0" xfId="0" applyFont="1" applyFill="1"/>
    <xf numFmtId="0" fontId="0" fillId="9" borderId="16" xfId="0" applyFill="1" applyBorder="1"/>
    <xf numFmtId="0" fontId="0" fillId="9" borderId="0" xfId="0" applyFill="1" applyBorder="1"/>
    <xf numFmtId="44" fontId="3" fillId="9" borderId="0" xfId="3" applyFont="1" applyFill="1" applyBorder="1"/>
    <xf numFmtId="44" fontId="0" fillId="9" borderId="0" xfId="3" applyFont="1" applyFill="1" applyBorder="1"/>
    <xf numFmtId="44" fontId="3" fillId="9" borderId="17" xfId="3" applyFont="1" applyFill="1" applyBorder="1"/>
    <xf numFmtId="0" fontId="0" fillId="4" borderId="0" xfId="0" applyFill="1"/>
    <xf numFmtId="0" fontId="3" fillId="4" borderId="0" xfId="0" applyFont="1" applyFill="1"/>
    <xf numFmtId="0" fontId="3" fillId="4" borderId="16" xfId="0" applyFont="1" applyFill="1" applyBorder="1"/>
    <xf numFmtId="0" fontId="3" fillId="4" borderId="0" xfId="0" applyFont="1" applyFill="1" applyBorder="1"/>
    <xf numFmtId="44" fontId="3" fillId="4" borderId="0" xfId="3" applyFont="1" applyFill="1" applyBorder="1"/>
    <xf numFmtId="44" fontId="0" fillId="4" borderId="0" xfId="3" applyFont="1" applyFill="1" applyBorder="1"/>
    <xf numFmtId="44" fontId="0" fillId="4" borderId="17" xfId="3" applyFont="1" applyFill="1" applyBorder="1"/>
    <xf numFmtId="0" fontId="3" fillId="11" borderId="14" xfId="0" applyFont="1" applyFill="1" applyBorder="1" applyAlignment="1">
      <alignment horizontal="center" vertical="center" wrapText="1"/>
    </xf>
    <xf numFmtId="0" fontId="3" fillId="11" borderId="0" xfId="0" applyFont="1" applyFill="1" applyAlignment="1">
      <alignment horizontal="center" vertical="center"/>
    </xf>
    <xf numFmtId="0" fontId="3" fillId="11" borderId="20" xfId="0" applyFont="1" applyFill="1" applyBorder="1" applyAlignment="1">
      <alignment horizontal="center" vertical="center"/>
    </xf>
    <xf numFmtId="44" fontId="3" fillId="11" borderId="15" xfId="3" applyFont="1" applyFill="1" applyBorder="1" applyAlignment="1">
      <alignment horizontal="center" vertical="center"/>
    </xf>
    <xf numFmtId="0" fontId="0" fillId="0" borderId="0" xfId="0" applyAlignment="1">
      <alignment horizontal="center" vertical="center"/>
    </xf>
    <xf numFmtId="0" fontId="3" fillId="11" borderId="20" xfId="0" applyFont="1" applyFill="1" applyBorder="1" applyAlignment="1">
      <alignment horizontal="center" vertical="center" wrapText="1"/>
    </xf>
    <xf numFmtId="44" fontId="18" fillId="0" borderId="0" xfId="3" applyFont="1" applyBorder="1"/>
    <xf numFmtId="0" fontId="8" fillId="4" borderId="0" xfId="5" applyFill="1" applyBorder="1"/>
    <xf numFmtId="0" fontId="16" fillId="0" borderId="0" xfId="0" applyFont="1"/>
    <xf numFmtId="0" fontId="0" fillId="0" borderId="14" xfId="0" applyBorder="1"/>
    <xf numFmtId="0" fontId="0" fillId="0" borderId="15" xfId="0" applyBorder="1"/>
    <xf numFmtId="44" fontId="0" fillId="0" borderId="16" xfId="3" applyFont="1" applyBorder="1"/>
    <xf numFmtId="164" fontId="0" fillId="0" borderId="0" xfId="0" applyNumberFormat="1" applyFill="1" applyBorder="1"/>
    <xf numFmtId="0" fontId="3" fillId="0" borderId="0" xfId="0" applyFont="1" applyFill="1" applyBorder="1"/>
    <xf numFmtId="1" fontId="0" fillId="0" borderId="0" xfId="0" applyNumberFormat="1" applyFill="1" applyBorder="1"/>
    <xf numFmtId="1" fontId="17" fillId="0" borderId="0" xfId="0" applyNumberFormat="1" applyFont="1" applyFill="1" applyBorder="1"/>
    <xf numFmtId="0" fontId="16" fillId="0" borderId="0" xfId="0" applyFont="1" applyBorder="1"/>
    <xf numFmtId="0" fontId="17" fillId="0" borderId="16" xfId="0" applyFont="1" applyFill="1" applyBorder="1"/>
    <xf numFmtId="0" fontId="17" fillId="0" borderId="17" xfId="0" applyFont="1" applyFill="1" applyBorder="1"/>
    <xf numFmtId="0" fontId="17" fillId="0" borderId="18" xfId="0" applyFont="1" applyFill="1" applyBorder="1"/>
    <xf numFmtId="1" fontId="17" fillId="0" borderId="21" xfId="0" applyNumberFormat="1" applyFont="1" applyFill="1" applyBorder="1"/>
    <xf numFmtId="0" fontId="17" fillId="0" borderId="19" xfId="0" applyFont="1" applyFill="1" applyBorder="1"/>
    <xf numFmtId="0" fontId="0" fillId="0" borderId="16" xfId="0" applyFill="1" applyBorder="1"/>
    <xf numFmtId="0" fontId="0" fillId="0" borderId="18" xfId="0" applyFill="1" applyBorder="1"/>
    <xf numFmtId="0" fontId="3" fillId="12" borderId="40" xfId="0" applyFont="1" applyFill="1" applyBorder="1"/>
    <xf numFmtId="44" fontId="0" fillId="12" borderId="42" xfId="3" applyFont="1" applyFill="1" applyBorder="1"/>
    <xf numFmtId="44" fontId="0" fillId="12" borderId="41" xfId="3" applyFont="1" applyFill="1" applyBorder="1"/>
    <xf numFmtId="0" fontId="15" fillId="0" borderId="0" xfId="0" applyFont="1" applyBorder="1" applyAlignment="1">
      <alignment horizontal="left" vertical="center" wrapText="1"/>
    </xf>
    <xf numFmtId="0" fontId="0" fillId="0" borderId="17" xfId="0" applyFill="1" applyBorder="1"/>
    <xf numFmtId="0" fontId="7" fillId="0" borderId="0" xfId="0" applyFont="1" applyBorder="1"/>
    <xf numFmtId="0" fontId="15" fillId="0" borderId="0" xfId="0" applyFont="1" applyFill="1" applyBorder="1" applyAlignment="1">
      <alignment horizontal="left" vertical="center" wrapText="1"/>
    </xf>
    <xf numFmtId="0" fontId="0" fillId="5" borderId="8" xfId="0" applyFill="1" applyBorder="1" applyAlignment="1">
      <alignment horizontal="right"/>
    </xf>
    <xf numFmtId="0" fontId="0" fillId="5" borderId="8" xfId="3" applyNumberFormat="1" applyFont="1" applyFill="1" applyBorder="1" applyAlignment="1">
      <alignment horizontal="right"/>
    </xf>
    <xf numFmtId="0" fontId="3" fillId="4" borderId="16" xfId="0" applyFont="1" applyFill="1" applyBorder="1" applyAlignment="1">
      <alignment horizontal="right"/>
    </xf>
    <xf numFmtId="0" fontId="3" fillId="0" borderId="16" xfId="0" applyFont="1" applyFill="1" applyBorder="1"/>
    <xf numFmtId="166" fontId="0" fillId="7" borderId="0" xfId="0" applyNumberFormat="1" applyFill="1"/>
    <xf numFmtId="164" fontId="0" fillId="0" borderId="0" xfId="0" applyNumberFormat="1" applyBorder="1"/>
    <xf numFmtId="2" fontId="0" fillId="0" borderId="0" xfId="0" applyNumberFormat="1" applyBorder="1"/>
    <xf numFmtId="164" fontId="0" fillId="14" borderId="0" xfId="0" applyNumberFormat="1" applyFill="1" applyBorder="1"/>
    <xf numFmtId="0" fontId="3" fillId="11" borderId="0" xfId="0" applyFont="1" applyFill="1" applyAlignment="1">
      <alignment horizontal="center" vertical="center" wrapText="1"/>
    </xf>
    <xf numFmtId="2" fontId="3" fillId="14" borderId="0" xfId="0" applyNumberFormat="1" applyFont="1" applyFill="1" applyBorder="1"/>
    <xf numFmtId="44" fontId="3" fillId="0" borderId="0" xfId="0" applyNumberFormat="1" applyFont="1" applyBorder="1"/>
    <xf numFmtId="44" fontId="3" fillId="0" borderId="0" xfId="0" applyNumberFormat="1" applyFont="1" applyFill="1"/>
    <xf numFmtId="164" fontId="0" fillId="15" borderId="0" xfId="0" applyNumberFormat="1" applyFill="1" applyBorder="1"/>
    <xf numFmtId="44" fontId="3" fillId="11" borderId="20" xfId="3" applyFont="1" applyFill="1" applyBorder="1" applyAlignment="1">
      <alignment horizontal="center" vertical="center" wrapText="1"/>
    </xf>
    <xf numFmtId="0" fontId="18" fillId="0" borderId="0" xfId="0" applyFont="1"/>
    <xf numFmtId="0" fontId="4" fillId="0" borderId="0" xfId="0" applyFont="1" applyAlignment="1">
      <alignment horizontal="left"/>
    </xf>
    <xf numFmtId="0" fontId="7" fillId="0" borderId="0" xfId="0" applyFont="1"/>
    <xf numFmtId="0" fontId="3" fillId="2" borderId="9" xfId="0" applyFont="1" applyFill="1" applyBorder="1" applyAlignment="1">
      <alignment horizontal="center"/>
    </xf>
    <xf numFmtId="0" fontId="3" fillId="2" borderId="11" xfId="0" applyFont="1" applyFill="1" applyBorder="1" applyAlignment="1">
      <alignment horizontal="center"/>
    </xf>
    <xf numFmtId="1" fontId="3" fillId="0" borderId="0" xfId="0" applyNumberFormat="1" applyFont="1" applyFill="1"/>
    <xf numFmtId="44" fontId="3" fillId="0" borderId="0" xfId="0" applyNumberFormat="1" applyFont="1" applyFill="1" applyBorder="1"/>
    <xf numFmtId="44" fontId="0" fillId="0" borderId="0" xfId="3" applyFont="1" applyFill="1" applyBorder="1"/>
    <xf numFmtId="44" fontId="0" fillId="0" borderId="17" xfId="3" applyFont="1" applyFill="1" applyBorder="1"/>
    <xf numFmtId="0" fontId="0" fillId="0" borderId="0" xfId="0" applyFont="1" applyFill="1"/>
    <xf numFmtId="0" fontId="3" fillId="12" borderId="14" xfId="0" applyFont="1" applyFill="1" applyBorder="1"/>
    <xf numFmtId="0" fontId="0" fillId="12" borderId="20" xfId="0" applyFill="1" applyBorder="1"/>
    <xf numFmtId="0" fontId="0" fillId="12" borderId="15" xfId="0" applyFill="1" applyBorder="1"/>
    <xf numFmtId="164" fontId="0" fillId="0" borderId="20" xfId="0" applyNumberFormat="1" applyBorder="1"/>
    <xf numFmtId="0" fontId="22" fillId="0" borderId="0" xfId="0" applyFont="1"/>
    <xf numFmtId="0" fontId="3" fillId="2" borderId="4" xfId="0" applyFont="1" applyFill="1" applyBorder="1" applyAlignment="1">
      <alignment horizontal="center"/>
    </xf>
    <xf numFmtId="0" fontId="3" fillId="2" borderId="1" xfId="0" applyFont="1" applyFill="1" applyBorder="1" applyAlignment="1">
      <alignment horizontal="center"/>
    </xf>
    <xf numFmtId="0" fontId="3" fillId="2" borderId="35" xfId="0" applyFont="1" applyFill="1" applyBorder="1" applyAlignment="1">
      <alignment horizontal="center"/>
    </xf>
    <xf numFmtId="0" fontId="3" fillId="2" borderId="38" xfId="0" applyFont="1" applyFill="1" applyBorder="1" applyAlignment="1">
      <alignment horizontal="center"/>
    </xf>
    <xf numFmtId="44" fontId="0" fillId="0" borderId="16" xfId="3" applyNumberFormat="1" applyFont="1" applyBorder="1"/>
    <xf numFmtId="0" fontId="3" fillId="2" borderId="8" xfId="0" applyFont="1" applyFill="1" applyBorder="1" applyAlignment="1">
      <alignment horizontal="center"/>
    </xf>
    <xf numFmtId="0" fontId="3" fillId="2" borderId="34" xfId="0" applyFont="1" applyFill="1" applyBorder="1" applyAlignment="1">
      <alignment horizontal="center"/>
    </xf>
    <xf numFmtId="0" fontId="3" fillId="2" borderId="33" xfId="0" applyFont="1" applyFill="1" applyBorder="1" applyAlignment="1">
      <alignment horizontal="center"/>
    </xf>
    <xf numFmtId="0" fontId="3" fillId="2" borderId="35" xfId="0" applyFont="1" applyFill="1" applyBorder="1" applyAlignment="1">
      <alignment horizontal="center" vertical="center"/>
    </xf>
    <xf numFmtId="0" fontId="0" fillId="0" borderId="16" xfId="0" applyNumberFormat="1" applyBorder="1" applyAlignment="1">
      <alignment horizontal="center"/>
    </xf>
    <xf numFmtId="1" fontId="0" fillId="0" borderId="0" xfId="0" applyNumberFormat="1" applyBorder="1" applyAlignment="1">
      <alignment horizontal="center"/>
    </xf>
    <xf numFmtId="1" fontId="0" fillId="0" borderId="17" xfId="0" applyNumberFormat="1" applyBorder="1" applyAlignment="1">
      <alignment horizontal="center"/>
    </xf>
    <xf numFmtId="0" fontId="0" fillId="0" borderId="16" xfId="0" applyBorder="1" applyAlignment="1">
      <alignment horizontal="center"/>
    </xf>
    <xf numFmtId="0" fontId="3" fillId="2" borderId="37" xfId="0" applyFont="1" applyFill="1" applyBorder="1" applyAlignment="1">
      <alignment vertical="center"/>
    </xf>
    <xf numFmtId="0" fontId="3" fillId="2" borderId="39" xfId="0" applyFont="1" applyFill="1" applyBorder="1" applyAlignment="1">
      <alignment horizontal="center" vertical="center"/>
    </xf>
    <xf numFmtId="0" fontId="0" fillId="0" borderId="39" xfId="0" applyNumberFormat="1" applyBorder="1" applyAlignment="1">
      <alignment horizontal="center"/>
    </xf>
    <xf numFmtId="0" fontId="0" fillId="0" borderId="39" xfId="0" applyBorder="1" applyAlignment="1">
      <alignment horizontal="center"/>
    </xf>
    <xf numFmtId="0" fontId="0" fillId="0" borderId="17" xfId="0" applyNumberFormat="1" applyBorder="1" applyAlignment="1">
      <alignment horizontal="center"/>
    </xf>
    <xf numFmtId="0" fontId="0" fillId="0" borderId="17" xfId="0" applyBorder="1" applyAlignment="1">
      <alignment horizontal="center"/>
    </xf>
    <xf numFmtId="0" fontId="0" fillId="0" borderId="0" xfId="0" pivotButton="1"/>
    <xf numFmtId="1" fontId="0" fillId="0" borderId="0" xfId="0" applyNumberFormat="1" applyFill="1" applyBorder="1" applyAlignment="1">
      <alignment horizontal="center"/>
    </xf>
    <xf numFmtId="1" fontId="0" fillId="0" borderId="17" xfId="0" applyNumberFormat="1" applyFill="1" applyBorder="1" applyAlignment="1">
      <alignment horizontal="center"/>
    </xf>
    <xf numFmtId="0" fontId="12" fillId="6" borderId="0" xfId="0" applyFont="1" applyFill="1" applyBorder="1"/>
    <xf numFmtId="0" fontId="24" fillId="6" borderId="16" xfId="0" applyFont="1" applyFill="1" applyBorder="1"/>
    <xf numFmtId="0" fontId="24" fillId="6" borderId="44" xfId="0" applyFont="1" applyFill="1" applyBorder="1"/>
    <xf numFmtId="0" fontId="12" fillId="6" borderId="20" xfId="0" applyFont="1" applyFill="1" applyBorder="1"/>
    <xf numFmtId="0" fontId="12" fillId="6" borderId="21" xfId="0" applyFont="1" applyFill="1" applyBorder="1"/>
    <xf numFmtId="0" fontId="12" fillId="6" borderId="24" xfId="0" applyFont="1" applyFill="1" applyBorder="1"/>
    <xf numFmtId="167" fontId="0" fillId="0" borderId="0" xfId="0" applyNumberFormat="1"/>
    <xf numFmtId="0" fontId="3" fillId="0" borderId="0" xfId="0" pivotButton="1" applyFont="1"/>
    <xf numFmtId="44" fontId="3" fillId="0" borderId="0" xfId="0" applyNumberFormat="1" applyFont="1"/>
    <xf numFmtId="0" fontId="0" fillId="4" borderId="0" xfId="0" applyFill="1" applyBorder="1" applyAlignment="1">
      <alignment horizontal="right"/>
    </xf>
    <xf numFmtId="0" fontId="3" fillId="4" borderId="0" xfId="0" applyFont="1" applyFill="1" applyBorder="1" applyAlignment="1">
      <alignment horizontal="center"/>
    </xf>
    <xf numFmtId="0" fontId="0" fillId="0" borderId="0" xfId="3" applyNumberFormat="1" applyFont="1" applyFill="1" applyBorder="1"/>
    <xf numFmtId="0" fontId="5" fillId="0" borderId="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6" xfId="0" applyFont="1" applyFill="1" applyBorder="1" applyAlignment="1">
      <alignment vertical="center"/>
    </xf>
    <xf numFmtId="0" fontId="5" fillId="4" borderId="0" xfId="0" applyFont="1" applyFill="1" applyBorder="1" applyAlignment="1">
      <alignment vertical="center"/>
    </xf>
    <xf numFmtId="0" fontId="5" fillId="4" borderId="17" xfId="0" applyFont="1" applyFill="1" applyBorder="1" applyAlignment="1">
      <alignment vertical="center"/>
    </xf>
    <xf numFmtId="0" fontId="0" fillId="7" borderId="0" xfId="0" applyFill="1" applyBorder="1"/>
    <xf numFmtId="0" fontId="0" fillId="18" borderId="8" xfId="0" applyFill="1" applyBorder="1" applyAlignment="1">
      <alignment horizontal="right"/>
    </xf>
    <xf numFmtId="44" fontId="0" fillId="18" borderId="8" xfId="3" applyFont="1" applyFill="1" applyBorder="1" applyAlignment="1">
      <alignment horizontal="right"/>
    </xf>
    <xf numFmtId="0" fontId="0" fillId="18" borderId="0" xfId="0" applyFill="1"/>
    <xf numFmtId="0" fontId="0" fillId="8" borderId="8" xfId="0" applyFill="1" applyBorder="1"/>
    <xf numFmtId="0" fontId="20" fillId="18" borderId="0" xfId="0" applyNumberFormat="1" applyFont="1" applyFill="1"/>
    <xf numFmtId="0" fontId="20" fillId="18" borderId="0" xfId="0" applyFont="1" applyFill="1"/>
    <xf numFmtId="44" fontId="3" fillId="0" borderId="0" xfId="0" pivotButton="1" applyNumberFormat="1" applyFont="1"/>
    <xf numFmtId="0" fontId="5" fillId="0" borderId="16" xfId="0" applyFont="1" applyFill="1" applyBorder="1" applyAlignment="1">
      <alignment horizontal="center" vertical="center"/>
    </xf>
    <xf numFmtId="0" fontId="6" fillId="0" borderId="0" xfId="0" applyFont="1" applyFill="1" applyBorder="1" applyAlignment="1">
      <alignment horizontal="right"/>
    </xf>
    <xf numFmtId="0" fontId="0" fillId="0" borderId="21" xfId="0" applyFill="1" applyBorder="1"/>
    <xf numFmtId="0" fontId="0" fillId="0" borderId="19" xfId="0" applyFill="1" applyBorder="1"/>
    <xf numFmtId="0" fontId="0" fillId="0" borderId="0" xfId="0" applyFill="1" applyAlignment="1">
      <alignment horizontal="left"/>
    </xf>
    <xf numFmtId="0" fontId="14" fillId="0" borderId="0" xfId="0" applyFont="1" applyFill="1" applyBorder="1" applyAlignment="1"/>
    <xf numFmtId="0" fontId="9" fillId="0" borderId="0" xfId="5" applyFont="1" applyFill="1" applyBorder="1" applyAlignment="1">
      <alignment vertical="center" wrapText="1"/>
    </xf>
    <xf numFmtId="0" fontId="5" fillId="4" borderId="0" xfId="0" applyFont="1" applyFill="1" applyBorder="1" applyAlignment="1">
      <alignment horizontal="center" vertical="center"/>
    </xf>
    <xf numFmtId="0" fontId="5" fillId="4" borderId="17" xfId="0" applyFont="1" applyFill="1" applyBorder="1" applyAlignment="1">
      <alignment horizontal="center" vertical="center"/>
    </xf>
    <xf numFmtId="0" fontId="0" fillId="0" borderId="0" xfId="0" applyNumberFormat="1" applyFill="1" applyAlignment="1">
      <alignment horizontal="left"/>
    </xf>
    <xf numFmtId="0" fontId="0" fillId="4" borderId="14" xfId="0" applyFill="1" applyBorder="1"/>
    <xf numFmtId="0" fontId="0" fillId="4" borderId="20" xfId="0" applyFill="1" applyBorder="1"/>
    <xf numFmtId="0" fontId="0" fillId="4" borderId="15" xfId="0" applyFill="1" applyBorder="1"/>
    <xf numFmtId="0" fontId="25" fillId="18" borderId="0" xfId="0" applyFont="1" applyFill="1" applyBorder="1" applyAlignment="1">
      <alignment horizontal="center" vertical="center"/>
    </xf>
    <xf numFmtId="0" fontId="25" fillId="5" borderId="0" xfId="0" applyFont="1" applyFill="1" applyBorder="1" applyAlignment="1">
      <alignment horizontal="center" vertical="center"/>
    </xf>
    <xf numFmtId="0" fontId="0" fillId="7" borderId="0" xfId="0" applyFill="1" applyBorder="1" applyAlignment="1">
      <alignment horizontal="left"/>
    </xf>
    <xf numFmtId="0" fontId="0" fillId="7" borderId="0" xfId="0" applyFont="1" applyFill="1" applyBorder="1"/>
    <xf numFmtId="0" fontId="0" fillId="4" borderId="0" xfId="0" applyFill="1" applyBorder="1" applyAlignment="1">
      <alignment horizontal="left"/>
    </xf>
    <xf numFmtId="0" fontId="3" fillId="4" borderId="0" xfId="0" applyFont="1" applyFill="1" applyBorder="1" applyAlignment="1">
      <alignment horizontal="right"/>
    </xf>
    <xf numFmtId="0" fontId="0" fillId="4" borderId="0" xfId="0" applyFont="1" applyFill="1" applyBorder="1"/>
    <xf numFmtId="0" fontId="0" fillId="8" borderId="0" xfId="3" applyNumberFormat="1" applyFont="1" applyFill="1" applyBorder="1"/>
    <xf numFmtId="44" fontId="0" fillId="5" borderId="21" xfId="3" applyFont="1" applyFill="1" applyBorder="1"/>
    <xf numFmtId="0" fontId="23" fillId="0" borderId="46" xfId="0" applyFont="1" applyFill="1" applyBorder="1"/>
    <xf numFmtId="1" fontId="22" fillId="5" borderId="8" xfId="3" applyNumberFormat="1" applyFont="1" applyFill="1" applyBorder="1" applyAlignment="1">
      <alignment horizontal="right"/>
    </xf>
    <xf numFmtId="0" fontId="17" fillId="0" borderId="0" xfId="0" applyFont="1" applyFill="1" applyBorder="1"/>
    <xf numFmtId="0" fontId="0" fillId="4" borderId="0" xfId="0" applyFont="1" applyFill="1" applyBorder="1" applyAlignment="1">
      <alignment horizontal="right"/>
    </xf>
    <xf numFmtId="0" fontId="0" fillId="5" borderId="8" xfId="0" applyFont="1" applyFill="1" applyBorder="1" applyAlignment="1">
      <alignment horizontal="right"/>
    </xf>
    <xf numFmtId="0" fontId="0" fillId="5" borderId="8" xfId="0" applyFont="1" applyFill="1" applyBorder="1"/>
    <xf numFmtId="44" fontId="2" fillId="5" borderId="8" xfId="3" applyFont="1" applyFill="1" applyBorder="1"/>
    <xf numFmtId="1" fontId="0" fillId="5" borderId="8" xfId="0" applyNumberFormat="1" applyFont="1" applyFill="1" applyBorder="1"/>
    <xf numFmtId="0" fontId="27" fillId="4" borderId="17" xfId="0" applyFont="1" applyFill="1" applyBorder="1"/>
    <xf numFmtId="0" fontId="27" fillId="4" borderId="0" xfId="0" applyFont="1" applyFill="1" applyBorder="1"/>
    <xf numFmtId="0" fontId="26" fillId="0" borderId="16" xfId="0" applyFont="1" applyFill="1" applyBorder="1" applyAlignment="1">
      <alignment vertical="center"/>
    </xf>
    <xf numFmtId="0" fontId="26" fillId="0" borderId="0" xfId="0" applyFont="1" applyFill="1" applyBorder="1" applyAlignment="1">
      <alignment vertical="center"/>
    </xf>
    <xf numFmtId="0" fontId="26" fillId="0" borderId="17" xfId="0" applyFont="1" applyFill="1" applyBorder="1" applyAlignment="1">
      <alignment vertical="center"/>
    </xf>
    <xf numFmtId="0" fontId="3" fillId="2" borderId="1" xfId="0" applyFont="1" applyFill="1" applyBorder="1" applyAlignment="1">
      <alignment horizontal="center" vertical="center"/>
    </xf>
    <xf numFmtId="0" fontId="0" fillId="0" borderId="0" xfId="0" applyNumberFormat="1" applyBorder="1" applyAlignment="1">
      <alignment horizontal="center"/>
    </xf>
    <xf numFmtId="0" fontId="0" fillId="0" borderId="0" xfId="0" applyBorder="1" applyAlignment="1">
      <alignment horizontal="center"/>
    </xf>
    <xf numFmtId="0" fontId="3" fillId="2" borderId="15" xfId="0" applyFont="1" applyFill="1" applyBorder="1" applyAlignment="1">
      <alignment vertical="center"/>
    </xf>
    <xf numFmtId="0" fontId="3" fillId="2" borderId="17" xfId="0" applyFont="1" applyFill="1" applyBorder="1" applyAlignment="1">
      <alignment horizontal="center" vertical="center"/>
    </xf>
    <xf numFmtId="0" fontId="3" fillId="2" borderId="14" xfId="0" applyFont="1" applyFill="1" applyBorder="1" applyAlignment="1">
      <alignment vertical="center"/>
    </xf>
    <xf numFmtId="0" fontId="3" fillId="2" borderId="16" xfId="0" applyFont="1" applyFill="1" applyBorder="1" applyAlignment="1">
      <alignment vertical="center"/>
    </xf>
    <xf numFmtId="0" fontId="3" fillId="2" borderId="37" xfId="0" applyFont="1" applyFill="1" applyBorder="1" applyAlignment="1">
      <alignment horizontal="left" vertical="center"/>
    </xf>
    <xf numFmtId="0" fontId="0" fillId="0" borderId="39" xfId="0" applyNumberFormat="1" applyFill="1" applyBorder="1" applyAlignment="1">
      <alignment horizontal="left"/>
    </xf>
    <xf numFmtId="0" fontId="22" fillId="0" borderId="0" xfId="0" applyFont="1" applyFill="1"/>
    <xf numFmtId="0" fontId="25" fillId="10" borderId="0" xfId="0" applyFont="1" applyFill="1" applyBorder="1" applyAlignment="1">
      <alignment horizontal="center" vertical="center"/>
    </xf>
    <xf numFmtId="0" fontId="6" fillId="3" borderId="8" xfId="0" applyFont="1" applyFill="1" applyBorder="1" applyAlignment="1">
      <alignment horizontal="right"/>
    </xf>
    <xf numFmtId="44" fontId="0" fillId="6" borderId="8" xfId="0" applyNumberFormat="1" applyFont="1" applyFill="1" applyBorder="1"/>
    <xf numFmtId="1" fontId="0" fillId="6" borderId="8" xfId="0" applyNumberFormat="1" applyFont="1" applyFill="1" applyBorder="1"/>
    <xf numFmtId="44" fontId="0" fillId="4" borderId="0" xfId="0" applyNumberFormat="1" applyFont="1" applyFill="1" applyBorder="1"/>
    <xf numFmtId="0" fontId="4" fillId="0" borderId="0" xfId="0" applyFont="1" applyAlignment="1">
      <alignment vertical="top" wrapText="1"/>
    </xf>
    <xf numFmtId="1" fontId="0" fillId="0" borderId="17" xfId="0" applyNumberFormat="1" applyFill="1" applyBorder="1"/>
    <xf numFmtId="1" fontId="0" fillId="0" borderId="16" xfId="0" applyNumberFormat="1" applyFill="1" applyBorder="1"/>
    <xf numFmtId="0" fontId="0" fillId="0" borderId="0" xfId="0" applyNumberFormat="1" applyFill="1" applyBorder="1"/>
    <xf numFmtId="164" fontId="0" fillId="0" borderId="16" xfId="0" applyNumberFormat="1" applyFill="1" applyBorder="1"/>
    <xf numFmtId="164" fontId="0" fillId="0" borderId="17" xfId="0" applyNumberFormat="1" applyFill="1" applyBorder="1"/>
    <xf numFmtId="2" fontId="0" fillId="0" borderId="0" xfId="0" applyNumberFormat="1" applyFill="1" applyBorder="1"/>
    <xf numFmtId="2" fontId="0" fillId="0" borderId="17" xfId="0" applyNumberFormat="1" applyFill="1" applyBorder="1"/>
    <xf numFmtId="0" fontId="0" fillId="19" borderId="8" xfId="0" applyFill="1" applyBorder="1"/>
    <xf numFmtId="0" fontId="0" fillId="7" borderId="8" xfId="0" applyFill="1" applyBorder="1" applyAlignment="1">
      <alignment horizontal="center"/>
    </xf>
    <xf numFmtId="0" fontId="14" fillId="6" borderId="4" xfId="0" applyFont="1" applyFill="1" applyBorder="1" applyAlignment="1"/>
    <xf numFmtId="0" fontId="14" fillId="6" borderId="0" xfId="0" applyFont="1" applyFill="1" applyBorder="1" applyAlignment="1"/>
    <xf numFmtId="0" fontId="3" fillId="2" borderId="39" xfId="0" applyFont="1" applyFill="1" applyBorder="1" applyAlignment="1">
      <alignment horizontal="center"/>
    </xf>
    <xf numFmtId="0" fontId="6" fillId="20" borderId="0" xfId="0" applyFont="1" applyFill="1"/>
    <xf numFmtId="0" fontId="3" fillId="2" borderId="37" xfId="0" applyFont="1" applyFill="1" applyBorder="1" applyAlignment="1">
      <alignment horizontal="center"/>
    </xf>
    <xf numFmtId="164" fontId="0" fillId="0" borderId="39" xfId="0" applyNumberFormat="1" applyBorder="1" applyAlignment="1">
      <alignment horizontal="center"/>
    </xf>
    <xf numFmtId="0" fontId="4" fillId="0" borderId="0" xfId="0" applyFont="1" applyFill="1" applyBorder="1"/>
    <xf numFmtId="0" fontId="12" fillId="0" borderId="0" xfId="0" applyFont="1" applyFill="1" applyBorder="1"/>
    <xf numFmtId="44" fontId="4" fillId="0" borderId="0" xfId="0" applyNumberFormat="1" applyFont="1" applyFill="1" applyBorder="1"/>
    <xf numFmtId="0" fontId="8" fillId="4" borderId="17" xfId="5" applyFill="1" applyBorder="1"/>
    <xf numFmtId="0" fontId="6" fillId="0" borderId="0" xfId="0" applyFont="1" applyFill="1" applyBorder="1" applyAlignment="1">
      <alignment horizontal="center"/>
    </xf>
    <xf numFmtId="164" fontId="22" fillId="6" borderId="8" xfId="3" applyNumberFormat="1" applyFont="1" applyFill="1" applyBorder="1" applyAlignment="1">
      <alignment horizontal="right"/>
    </xf>
    <xf numFmtId="0" fontId="0" fillId="18" borderId="0" xfId="0" applyFill="1" applyBorder="1"/>
    <xf numFmtId="0" fontId="16" fillId="7" borderId="0" xfId="0" applyFont="1" applyFill="1" applyBorder="1"/>
    <xf numFmtId="0" fontId="16" fillId="7" borderId="0" xfId="0" applyFont="1" applyFill="1" applyBorder="1" applyAlignment="1">
      <alignment horizontal="left"/>
    </xf>
    <xf numFmtId="0" fontId="16" fillId="18" borderId="0" xfId="0" applyFont="1" applyFill="1" applyBorder="1"/>
    <xf numFmtId="0" fontId="16" fillId="18" borderId="0" xfId="0" applyNumberFormat="1" applyFont="1" applyFill="1" applyBorder="1"/>
    <xf numFmtId="164" fontId="16" fillId="18" borderId="0" xfId="0" applyNumberFormat="1" applyFont="1" applyFill="1" applyBorder="1"/>
    <xf numFmtId="168" fontId="16" fillId="7" borderId="0" xfId="0" applyNumberFormat="1" applyFont="1" applyFill="1" applyBorder="1"/>
    <xf numFmtId="0" fontId="0" fillId="18" borderId="0" xfId="0" applyNumberFormat="1" applyFill="1" applyBorder="1"/>
    <xf numFmtId="164" fontId="0" fillId="18" borderId="0" xfId="0" applyNumberFormat="1" applyFill="1" applyBorder="1"/>
    <xf numFmtId="168" fontId="0" fillId="7" borderId="0" xfId="0" applyNumberFormat="1" applyFill="1" applyBorder="1"/>
    <xf numFmtId="168" fontId="0" fillId="7" borderId="0" xfId="0" applyNumberFormat="1" applyFill="1" applyBorder="1" applyAlignment="1">
      <alignment horizontal="right"/>
    </xf>
    <xf numFmtId="0" fontId="7" fillId="0" borderId="0" xfId="0" applyFont="1" applyFill="1" applyBorder="1"/>
    <xf numFmtId="0" fontId="15"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169" fontId="28" fillId="7" borderId="0" xfId="0" applyNumberFormat="1" applyFont="1" applyFill="1" applyBorder="1"/>
    <xf numFmtId="166" fontId="0" fillId="7" borderId="0" xfId="0" applyNumberFormat="1" applyFill="1" applyBorder="1"/>
    <xf numFmtId="0" fontId="21" fillId="7" borderId="0" xfId="0" applyFont="1" applyFill="1" applyBorder="1" applyAlignment="1">
      <alignment horizontal="left" vertical="center" wrapText="1"/>
    </xf>
    <xf numFmtId="0" fontId="0" fillId="18" borderId="0" xfId="0" applyFill="1" applyBorder="1" applyAlignment="1">
      <alignment horizontal="right"/>
    </xf>
    <xf numFmtId="0" fontId="0" fillId="7" borderId="0" xfId="0" applyFill="1" applyBorder="1" applyAlignment="1">
      <alignment horizontal="right"/>
    </xf>
    <xf numFmtId="0" fontId="3" fillId="7" borderId="0" xfId="0" applyFont="1" applyFill="1" applyBorder="1"/>
    <xf numFmtId="0" fontId="30" fillId="7" borderId="0" xfId="0" applyFont="1" applyFill="1" applyBorder="1" applyAlignment="1">
      <alignment horizontal="left" vertical="center" wrapText="1"/>
    </xf>
    <xf numFmtId="0" fontId="16" fillId="18" borderId="0" xfId="0" applyFont="1" applyFill="1" applyBorder="1" applyAlignment="1">
      <alignment horizontal="right"/>
    </xf>
    <xf numFmtId="0" fontId="16" fillId="0" borderId="0" xfId="0" applyFont="1" applyFill="1" applyBorder="1" applyAlignment="1">
      <alignment horizontal="left"/>
    </xf>
    <xf numFmtId="0" fontId="16" fillId="7" borderId="0" xfId="0" applyFont="1" applyFill="1" applyBorder="1" applyAlignment="1">
      <alignment horizontal="right"/>
    </xf>
    <xf numFmtId="44" fontId="13" fillId="6" borderId="15" xfId="3" applyFont="1" applyFill="1" applyBorder="1"/>
    <xf numFmtId="44" fontId="24" fillId="6" borderId="17" xfId="3" applyFont="1" applyFill="1" applyBorder="1"/>
    <xf numFmtId="44" fontId="24" fillId="6" borderId="45" xfId="3" applyFont="1" applyFill="1" applyBorder="1"/>
    <xf numFmtId="0" fontId="6" fillId="20" borderId="12" xfId="0" applyFont="1" applyFill="1" applyBorder="1"/>
    <xf numFmtId="0" fontId="6" fillId="21" borderId="12" xfId="0" applyFont="1" applyFill="1" applyBorder="1" applyAlignment="1">
      <alignment horizontal="center"/>
    </xf>
    <xf numFmtId="0" fontId="0" fillId="0" borderId="8" xfId="0" applyBorder="1"/>
    <xf numFmtId="0" fontId="31" fillId="0" borderId="0" xfId="0" applyFont="1"/>
    <xf numFmtId="0" fontId="31" fillId="0" borderId="0" xfId="0" applyFont="1" applyBorder="1"/>
    <xf numFmtId="0" fontId="31" fillId="0" borderId="0" xfId="0" applyFont="1" applyFill="1" applyBorder="1"/>
    <xf numFmtId="0" fontId="0" fillId="4" borderId="0" xfId="3" applyNumberFormat="1" applyFont="1" applyFill="1" applyBorder="1" applyAlignment="1">
      <alignment horizontal="right"/>
    </xf>
    <xf numFmtId="0" fontId="27" fillId="4" borderId="0" xfId="0" applyFont="1" applyFill="1"/>
    <xf numFmtId="0" fontId="4" fillId="0" borderId="0" xfId="0" applyFont="1" applyAlignment="1">
      <alignment horizontal="left" vertical="top" wrapText="1"/>
    </xf>
    <xf numFmtId="44" fontId="0" fillId="5" borderId="0" xfId="3" applyFont="1" applyFill="1" applyBorder="1"/>
    <xf numFmtId="0" fontId="0" fillId="0" borderId="0" xfId="0" applyProtection="1">
      <protection locked="0"/>
    </xf>
    <xf numFmtId="0" fontId="0" fillId="0" borderId="0" xfId="0" applyNumberFormat="1" applyAlignment="1" applyProtection="1">
      <alignment horizontal="right"/>
      <protection locked="0"/>
    </xf>
    <xf numFmtId="44" fontId="0" fillId="0" borderId="0" xfId="3" applyFont="1" applyAlignment="1" applyProtection="1">
      <alignment horizontal="right"/>
      <protection locked="0"/>
    </xf>
    <xf numFmtId="0" fontId="9" fillId="0" borderId="4" xfId="5" applyFont="1" applyFill="1" applyBorder="1" applyAlignment="1" applyProtection="1">
      <alignment wrapText="1"/>
      <protection locked="0"/>
    </xf>
    <xf numFmtId="0" fontId="0" fillId="0" borderId="0" xfId="0" applyFill="1" applyBorder="1" applyProtection="1">
      <protection locked="0"/>
    </xf>
    <xf numFmtId="0" fontId="19" fillId="0" borderId="25" xfId="5" applyFont="1" applyFill="1" applyBorder="1" applyAlignment="1" applyProtection="1">
      <alignment horizontal="right" wrapText="1"/>
      <protection locked="0"/>
    </xf>
    <xf numFmtId="44" fontId="0" fillId="0" borderId="26" xfId="0" applyNumberFormat="1" applyBorder="1" applyProtection="1">
      <protection locked="0"/>
    </xf>
    <xf numFmtId="0" fontId="19" fillId="0" borderId="18" xfId="0" applyFont="1" applyBorder="1" applyAlignment="1" applyProtection="1">
      <alignment horizontal="right"/>
      <protection locked="0"/>
    </xf>
    <xf numFmtId="44" fontId="0" fillId="0" borderId="19" xfId="0" applyNumberFormat="1" applyBorder="1" applyProtection="1">
      <protection locked="0"/>
    </xf>
    <xf numFmtId="0" fontId="0" fillId="0" borderId="0" xfId="0" applyAlignment="1" applyProtection="1">
      <alignment horizontal="center" wrapText="1"/>
      <protection locked="0"/>
    </xf>
    <xf numFmtId="0" fontId="4" fillId="0" borderId="0" xfId="0" applyFont="1" applyProtection="1">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wrapText="1"/>
      <protection locked="0"/>
    </xf>
    <xf numFmtId="0" fontId="3" fillId="0" borderId="0" xfId="0" applyNumberFormat="1" applyFont="1" applyAlignment="1" applyProtection="1">
      <alignment horizontal="left" vertical="center" wrapText="1"/>
      <protection locked="0"/>
    </xf>
    <xf numFmtId="44" fontId="3" fillId="0" borderId="0" xfId="3" applyFont="1" applyAlignment="1" applyProtection="1">
      <alignment horizontal="left" vertical="center" wrapText="1"/>
      <protection locked="0"/>
    </xf>
    <xf numFmtId="0" fontId="22" fillId="0" borderId="0" xfId="0" applyFont="1" applyProtection="1">
      <protection locked="0"/>
    </xf>
    <xf numFmtId="0" fontId="22" fillId="0" borderId="0" xfId="0" applyFont="1" applyAlignment="1" applyProtection="1">
      <alignment horizontal="right"/>
      <protection locked="0"/>
    </xf>
    <xf numFmtId="164" fontId="22" fillId="0" borderId="0" xfId="0" applyNumberFormat="1" applyFont="1" applyFill="1" applyProtection="1">
      <protection locked="0"/>
    </xf>
    <xf numFmtId="2" fontId="22" fillId="0" borderId="0" xfId="0" applyNumberFormat="1" applyFont="1" applyProtection="1">
      <protection locked="0"/>
    </xf>
    <xf numFmtId="44" fontId="22" fillId="0" borderId="0" xfId="3" applyFont="1" applyProtection="1">
      <protection locked="0"/>
    </xf>
    <xf numFmtId="164" fontId="22" fillId="0" borderId="0" xfId="3" applyNumberFormat="1" applyFont="1" applyAlignment="1" applyProtection="1">
      <alignment horizontal="right"/>
      <protection locked="0"/>
    </xf>
    <xf numFmtId="0" fontId="0" fillId="0" borderId="0" xfId="3" applyNumberFormat="1" applyFont="1" applyFill="1" applyAlignment="1" applyProtection="1">
      <alignment horizontal="right"/>
      <protection locked="0"/>
    </xf>
    <xf numFmtId="44" fontId="22" fillId="0" borderId="0" xfId="3" applyFont="1" applyAlignment="1" applyProtection="1">
      <alignment horizontal="right"/>
      <protection locked="0"/>
    </xf>
    <xf numFmtId="44" fontId="22" fillId="0" borderId="0" xfId="3" applyNumberFormat="1" applyFont="1" applyAlignment="1" applyProtection="1">
      <alignment horizontal="right"/>
      <protection locked="0"/>
    </xf>
    <xf numFmtId="2" fontId="22" fillId="0" borderId="0" xfId="0" applyNumberFormat="1" applyFont="1" applyAlignment="1" applyProtection="1">
      <alignment horizontal="right"/>
      <protection locked="0"/>
    </xf>
    <xf numFmtId="44" fontId="22" fillId="0" borderId="0" xfId="3" applyFont="1" applyAlignment="1" applyProtection="1">
      <alignment horizontal="left"/>
      <protection locked="0"/>
    </xf>
    <xf numFmtId="0" fontId="7" fillId="0" borderId="0" xfId="0" applyFont="1" applyProtection="1">
      <protection locked="0"/>
    </xf>
    <xf numFmtId="44" fontId="0" fillId="0" borderId="0" xfId="3" applyNumberFormat="1" applyFont="1" applyAlignment="1" applyProtection="1">
      <alignment horizontal="right"/>
      <protection locked="0"/>
    </xf>
    <xf numFmtId="0" fontId="0" fillId="0" borderId="0" xfId="0" applyAlignment="1" applyProtection="1">
      <alignment horizontal="right"/>
      <protection locked="0"/>
    </xf>
    <xf numFmtId="164" fontId="0" fillId="0" borderId="0" xfId="0" applyNumberFormat="1" applyFill="1" applyProtection="1">
      <protection locked="0"/>
    </xf>
    <xf numFmtId="2" fontId="0" fillId="0" borderId="0" xfId="0" applyNumberFormat="1" applyAlignment="1" applyProtection="1">
      <alignment horizontal="right"/>
      <protection locked="0"/>
    </xf>
    <xf numFmtId="44" fontId="0" fillId="0" borderId="0" xfId="3" applyFont="1" applyAlignment="1" applyProtection="1">
      <alignment horizontal="left"/>
      <protection locked="0"/>
    </xf>
    <xf numFmtId="44" fontId="0" fillId="0" borderId="0" xfId="3" applyFont="1" applyProtection="1">
      <protection locked="0"/>
    </xf>
    <xf numFmtId="0" fontId="0" fillId="0" borderId="0" xfId="0" applyNumberFormat="1" applyProtection="1">
      <protection locked="0"/>
    </xf>
    <xf numFmtId="2" fontId="0" fillId="0" borderId="0" xfId="0" applyNumberFormat="1" applyFill="1" applyAlignment="1" applyProtection="1">
      <alignment horizontal="right"/>
      <protection locked="0"/>
    </xf>
    <xf numFmtId="0" fontId="0" fillId="0" borderId="0" xfId="0" applyFill="1" applyProtection="1">
      <protection locked="0"/>
    </xf>
    <xf numFmtId="0" fontId="0" fillId="17" borderId="0" xfId="0" applyFill="1" applyProtection="1">
      <protection locked="0"/>
    </xf>
    <xf numFmtId="44" fontId="0" fillId="0" borderId="0" xfId="3" applyFont="1" applyFill="1" applyAlignment="1" applyProtection="1">
      <alignment horizontal="left"/>
      <protection locked="0"/>
    </xf>
    <xf numFmtId="0" fontId="0" fillId="0" borderId="0" xfId="3" applyNumberFormat="1" applyFont="1" applyAlignment="1" applyProtection="1">
      <alignment horizontal="right"/>
      <protection locked="0"/>
    </xf>
    <xf numFmtId="2" fontId="0" fillId="0" borderId="0" xfId="0" applyNumberFormat="1" applyProtection="1">
      <protection locked="0"/>
    </xf>
    <xf numFmtId="2" fontId="0" fillId="0" borderId="0" xfId="3" applyNumberFormat="1" applyFont="1" applyAlignment="1" applyProtection="1">
      <alignment horizontal="right"/>
      <protection locked="0"/>
    </xf>
    <xf numFmtId="0" fontId="0" fillId="0" borderId="0" xfId="0" applyFill="1" applyAlignment="1" applyProtection="1">
      <alignment horizontal="right"/>
      <protection locked="0"/>
    </xf>
    <xf numFmtId="44" fontId="0" fillId="0" borderId="0" xfId="3" applyFont="1" applyFill="1" applyProtection="1">
      <protection locked="0"/>
    </xf>
    <xf numFmtId="44" fontId="0" fillId="0" borderId="0" xfId="3" applyFont="1" applyFill="1" applyAlignment="1" applyProtection="1">
      <alignment horizontal="right"/>
      <protection locked="0"/>
    </xf>
    <xf numFmtId="44" fontId="0" fillId="0" borderId="0" xfId="3" applyNumberFormat="1" applyFont="1" applyFill="1" applyAlignment="1" applyProtection="1">
      <alignment horizontal="right"/>
      <protection locked="0"/>
    </xf>
    <xf numFmtId="164" fontId="0" fillId="0" borderId="0" xfId="0" applyNumberFormat="1" applyProtection="1">
      <protection locked="0"/>
    </xf>
    <xf numFmtId="2" fontId="0" fillId="0" borderId="0" xfId="0" applyNumberFormat="1" applyAlignment="1" applyProtection="1">
      <alignment horizontal="left"/>
      <protection locked="0"/>
    </xf>
    <xf numFmtId="2" fontId="0" fillId="0" borderId="0" xfId="0" applyNumberFormat="1" applyFill="1" applyAlignment="1" applyProtection="1">
      <alignment horizontal="left"/>
      <protection locked="0"/>
    </xf>
    <xf numFmtId="0" fontId="22" fillId="0" borderId="0" xfId="0" applyFont="1" applyProtection="1"/>
    <xf numFmtId="0" fontId="22" fillId="0" borderId="0" xfId="0" applyNumberFormat="1" applyFont="1" applyProtection="1"/>
    <xf numFmtId="0" fontId="0" fillId="0" borderId="0" xfId="0" applyProtection="1"/>
    <xf numFmtId="0" fontId="0" fillId="0" borderId="0" xfId="0" applyNumberFormat="1" applyProtection="1"/>
    <xf numFmtId="0" fontId="0" fillId="0" borderId="0" xfId="0" applyFill="1" applyProtection="1"/>
    <xf numFmtId="165" fontId="22" fillId="0" borderId="0" xfId="0" applyNumberFormat="1" applyFont="1" applyProtection="1"/>
    <xf numFmtId="165" fontId="0" fillId="0" borderId="0" xfId="0" applyNumberFormat="1" applyProtection="1"/>
    <xf numFmtId="165" fontId="0" fillId="0" borderId="0" xfId="0" applyNumberFormat="1" applyFill="1" applyProtection="1"/>
    <xf numFmtId="0" fontId="0" fillId="5" borderId="0" xfId="0" applyFill="1" applyProtection="1">
      <protection locked="0"/>
    </xf>
    <xf numFmtId="0" fontId="3" fillId="13" borderId="0" xfId="0" applyFont="1" applyFill="1" applyProtection="1">
      <protection locked="0"/>
    </xf>
    <xf numFmtId="0" fontId="3" fillId="0" borderId="0" xfId="0" applyFont="1" applyFill="1" applyProtection="1">
      <protection locked="0"/>
    </xf>
    <xf numFmtId="0" fontId="0" fillId="9" borderId="0" xfId="0" applyFill="1" applyProtection="1">
      <protection locked="0"/>
    </xf>
    <xf numFmtId="0" fontId="0" fillId="0" borderId="23" xfId="0" applyFill="1" applyBorder="1" applyProtection="1">
      <protection locked="0"/>
    </xf>
    <xf numFmtId="0" fontId="3" fillId="10" borderId="0" xfId="0" applyFont="1" applyFill="1" applyProtection="1">
      <protection locked="0"/>
    </xf>
    <xf numFmtId="0" fontId="0" fillId="5" borderId="0" xfId="0" applyFont="1" applyFill="1" applyProtection="1">
      <protection locked="0"/>
    </xf>
    <xf numFmtId="44" fontId="0" fillId="5" borderId="0" xfId="3" applyFont="1" applyFill="1" applyBorder="1" applyProtection="1">
      <protection locked="0"/>
    </xf>
    <xf numFmtId="44" fontId="0" fillId="0" borderId="0" xfId="3" applyFont="1" applyBorder="1" applyProtection="1">
      <protection locked="0"/>
    </xf>
    <xf numFmtId="44" fontId="0" fillId="0" borderId="0" xfId="3" applyFont="1" applyFill="1" applyBorder="1" applyProtection="1">
      <protection locked="0"/>
    </xf>
    <xf numFmtId="44" fontId="0" fillId="9" borderId="0" xfId="3" applyFont="1" applyFill="1" applyBorder="1" applyProtection="1">
      <protection locked="0"/>
    </xf>
    <xf numFmtId="44" fontId="3" fillId="14" borderId="23" xfId="3" applyFont="1" applyFill="1" applyBorder="1" applyProtection="1">
      <protection locked="0"/>
    </xf>
    <xf numFmtId="0" fontId="0" fillId="14" borderId="23" xfId="0" applyFill="1" applyBorder="1" applyProtection="1">
      <protection locked="0"/>
    </xf>
    <xf numFmtId="44" fontId="3" fillId="0" borderId="0" xfId="3" applyFont="1" applyBorder="1" applyProtection="1">
      <protection locked="0"/>
    </xf>
    <xf numFmtId="0" fontId="0" fillId="0" borderId="37" xfId="0" applyFill="1" applyBorder="1" applyAlignment="1">
      <alignment horizontal="left"/>
    </xf>
    <xf numFmtId="0" fontId="0" fillId="0" borderId="47" xfId="0" applyFill="1" applyBorder="1" applyAlignment="1">
      <alignment horizontal="left"/>
    </xf>
    <xf numFmtId="0" fontId="0" fillId="0" borderId="37" xfId="0" applyNumberFormat="1" applyFill="1" applyBorder="1"/>
    <xf numFmtId="0" fontId="0" fillId="0" borderId="47" xfId="0" applyNumberFormat="1" applyFill="1" applyBorder="1"/>
    <xf numFmtId="0" fontId="16" fillId="7" borderId="49" xfId="0" applyFont="1" applyFill="1" applyBorder="1"/>
    <xf numFmtId="0" fontId="16" fillId="7" borderId="48" xfId="0" applyFont="1" applyFill="1" applyBorder="1"/>
    <xf numFmtId="0" fontId="16" fillId="7" borderId="48" xfId="0" applyFont="1" applyFill="1" applyBorder="1" applyAlignment="1">
      <alignment horizontal="left"/>
    </xf>
    <xf numFmtId="0" fontId="16" fillId="18" borderId="48" xfId="0" applyFont="1" applyFill="1" applyBorder="1"/>
    <xf numFmtId="0" fontId="16" fillId="18" borderId="48" xfId="0" applyNumberFormat="1" applyFont="1" applyFill="1" applyBorder="1"/>
    <xf numFmtId="169" fontId="29" fillId="7" borderId="48" xfId="0" applyNumberFormat="1" applyFont="1" applyFill="1" applyBorder="1"/>
    <xf numFmtId="0" fontId="16" fillId="7" borderId="50" xfId="0" applyFont="1" applyFill="1" applyBorder="1" applyAlignment="1">
      <alignment horizontal="left"/>
    </xf>
    <xf numFmtId="0" fontId="16" fillId="18" borderId="48" xfId="0" applyNumberFormat="1" applyFont="1" applyFill="1" applyBorder="1" applyAlignment="1">
      <alignment horizontal="right"/>
    </xf>
    <xf numFmtId="0" fontId="0" fillId="18" borderId="0" xfId="0" applyNumberFormat="1" applyFill="1" applyBorder="1" applyAlignment="1">
      <alignment horizontal="right"/>
    </xf>
    <xf numFmtId="0" fontId="0" fillId="18" borderId="0" xfId="0" applyNumberFormat="1" applyFill="1" applyAlignment="1">
      <alignment horizontal="right"/>
    </xf>
    <xf numFmtId="0" fontId="0" fillId="18" borderId="0" xfId="0" applyFill="1" applyAlignment="1">
      <alignment horizontal="right"/>
    </xf>
    <xf numFmtId="0" fontId="16" fillId="18" borderId="0" xfId="0" applyNumberFormat="1" applyFont="1" applyFill="1" applyBorder="1" applyAlignment="1">
      <alignment horizontal="right"/>
    </xf>
    <xf numFmtId="0" fontId="0" fillId="0" borderId="0" xfId="0" applyFill="1" applyBorder="1" applyAlignment="1">
      <alignment horizontal="center"/>
    </xf>
    <xf numFmtId="44" fontId="0" fillId="0" borderId="0" xfId="0" applyNumberFormat="1" applyFill="1" applyBorder="1"/>
    <xf numFmtId="44" fontId="17" fillId="0" borderId="0" xfId="0" applyNumberFormat="1" applyFont="1" applyFill="1" applyBorder="1"/>
    <xf numFmtId="0" fontId="3" fillId="0" borderId="0" xfId="0" applyFont="1" applyFill="1" applyBorder="1" applyAlignment="1"/>
    <xf numFmtId="0" fontId="4" fillId="4" borderId="16" xfId="0" applyFont="1" applyFill="1" applyBorder="1" applyAlignment="1">
      <alignment horizontal="center"/>
    </xf>
    <xf numFmtId="0" fontId="4" fillId="4" borderId="0" xfId="0" applyFont="1" applyFill="1" applyBorder="1" applyAlignment="1">
      <alignment horizontal="center"/>
    </xf>
    <xf numFmtId="0" fontId="4" fillId="4" borderId="17" xfId="0" applyFont="1" applyFill="1" applyBorder="1" applyAlignment="1">
      <alignment horizontal="center"/>
    </xf>
    <xf numFmtId="0" fontId="5" fillId="4" borderId="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1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5" xfId="0" applyFont="1" applyFill="1" applyBorder="1" applyAlignment="1">
      <alignment horizontal="center" vertical="center"/>
    </xf>
    <xf numFmtId="0" fontId="9" fillId="5" borderId="12" xfId="5" applyFont="1" applyFill="1" applyBorder="1" applyAlignment="1">
      <alignment horizontal="center" wrapText="1"/>
    </xf>
    <xf numFmtId="0" fontId="9" fillId="5" borderId="7" xfId="5" applyFont="1" applyFill="1" applyBorder="1" applyAlignment="1">
      <alignment horizontal="center" wrapText="1"/>
    </xf>
    <xf numFmtId="0" fontId="19" fillId="0" borderId="0" xfId="0" applyFont="1" applyFill="1" applyAlignment="1">
      <alignment horizontal="left"/>
    </xf>
    <xf numFmtId="0" fontId="4" fillId="0" borderId="0" xfId="0" applyFont="1" applyAlignment="1">
      <alignment horizontal="left" vertical="top" wrapText="1"/>
    </xf>
    <xf numFmtId="0" fontId="32" fillId="5" borderId="2" xfId="5" applyFont="1" applyFill="1" applyBorder="1" applyAlignment="1">
      <alignment horizontal="center" wrapText="1"/>
    </xf>
    <xf numFmtId="0" fontId="32" fillId="5" borderId="23" xfId="5" applyFont="1" applyFill="1" applyBorder="1" applyAlignment="1">
      <alignment horizontal="center" wrapText="1"/>
    </xf>
    <xf numFmtId="0" fontId="32" fillId="5" borderId="3" xfId="5" applyFont="1" applyFill="1" applyBorder="1" applyAlignment="1">
      <alignment horizontal="center" wrapText="1"/>
    </xf>
    <xf numFmtId="0" fontId="32" fillId="5" borderId="4" xfId="5" applyFont="1" applyFill="1" applyBorder="1" applyAlignment="1">
      <alignment horizontal="center" wrapText="1"/>
    </xf>
    <xf numFmtId="0" fontId="32" fillId="5" borderId="0" xfId="5" applyFont="1" applyFill="1" applyBorder="1" applyAlignment="1">
      <alignment horizontal="center" wrapText="1"/>
    </xf>
    <xf numFmtId="0" fontId="32" fillId="5" borderId="1" xfId="5" applyFont="1" applyFill="1" applyBorder="1" applyAlignment="1">
      <alignment horizontal="center" wrapText="1"/>
    </xf>
    <xf numFmtId="0" fontId="14" fillId="6" borderId="5" xfId="0" applyFont="1" applyFill="1" applyBorder="1" applyAlignment="1">
      <alignment horizontal="left"/>
    </xf>
    <xf numFmtId="0" fontId="14" fillId="6" borderId="24" xfId="0" applyFont="1" applyFill="1" applyBorder="1" applyAlignment="1">
      <alignment horizontal="left"/>
    </xf>
    <xf numFmtId="0" fontId="3" fillId="2" borderId="40" xfId="0" applyFont="1" applyFill="1" applyBorder="1" applyAlignment="1">
      <alignment horizontal="center" wrapText="1"/>
    </xf>
    <xf numFmtId="0" fontId="3" fillId="2" borderId="42" xfId="0" applyFont="1" applyFill="1" applyBorder="1" applyAlignment="1">
      <alignment horizontal="center" wrapText="1"/>
    </xf>
    <xf numFmtId="0" fontId="3" fillId="2" borderId="41" xfId="0" applyFont="1" applyFill="1" applyBorder="1" applyAlignment="1">
      <alignment horizontal="center" wrapText="1"/>
    </xf>
    <xf numFmtId="0" fontId="3" fillId="0" borderId="21" xfId="0" applyFont="1" applyBorder="1" applyAlignment="1">
      <alignment horizontal="center"/>
    </xf>
    <xf numFmtId="0" fontId="3" fillId="2" borderId="40" xfId="0" applyFont="1" applyFill="1" applyBorder="1" applyAlignment="1">
      <alignment horizontal="center"/>
    </xf>
    <xf numFmtId="0" fontId="3" fillId="2" borderId="42" xfId="0" applyFont="1" applyFill="1" applyBorder="1" applyAlignment="1">
      <alignment horizontal="center"/>
    </xf>
    <xf numFmtId="0" fontId="3" fillId="2" borderId="41" xfId="0" applyFont="1" applyFill="1" applyBorder="1" applyAlignment="1">
      <alignment horizontal="center"/>
    </xf>
    <xf numFmtId="0" fontId="3" fillId="2" borderId="43" xfId="0" applyFont="1" applyFill="1" applyBorder="1" applyAlignment="1">
      <alignment horizontal="center"/>
    </xf>
    <xf numFmtId="0" fontId="3" fillId="2" borderId="31" xfId="0" applyFont="1" applyFill="1" applyBorder="1" applyAlignment="1">
      <alignment horizontal="center"/>
    </xf>
    <xf numFmtId="0" fontId="3" fillId="2" borderId="36" xfId="0" applyFont="1" applyFill="1" applyBorder="1" applyAlignment="1">
      <alignment horizontal="center"/>
    </xf>
    <xf numFmtId="0" fontId="3" fillId="2" borderId="30" xfId="0" applyFont="1" applyFill="1" applyBorder="1" applyAlignment="1">
      <alignment horizontal="center"/>
    </xf>
    <xf numFmtId="0" fontId="3" fillId="2" borderId="32" xfId="0" applyFont="1" applyFill="1" applyBorder="1" applyAlignment="1">
      <alignment horizontal="center"/>
    </xf>
    <xf numFmtId="0" fontId="3" fillId="2" borderId="20" xfId="0" applyFont="1" applyFill="1" applyBorder="1" applyAlignment="1">
      <alignment horizontal="center"/>
    </xf>
    <xf numFmtId="0" fontId="4" fillId="6" borderId="2" xfId="0" applyFont="1" applyFill="1" applyBorder="1" applyAlignment="1">
      <alignment horizontal="center"/>
    </xf>
    <xf numFmtId="0" fontId="4" fillId="6" borderId="23" xfId="0" applyFont="1" applyFill="1" applyBorder="1" applyAlignment="1">
      <alignment horizontal="center"/>
    </xf>
    <xf numFmtId="0" fontId="4" fillId="6" borderId="3" xfId="0" applyFont="1" applyFill="1" applyBorder="1" applyAlignment="1">
      <alignment horizontal="center"/>
    </xf>
    <xf numFmtId="0" fontId="12" fillId="6" borderId="4" xfId="0" applyFont="1" applyFill="1" applyBorder="1" applyAlignment="1">
      <alignment horizontal="left"/>
    </xf>
    <xf numFmtId="0" fontId="12" fillId="6" borderId="0" xfId="0" applyFont="1" applyFill="1" applyBorder="1" applyAlignment="1">
      <alignment horizontal="left"/>
    </xf>
    <xf numFmtId="0" fontId="12" fillId="6" borderId="1" xfId="0" applyFont="1" applyFill="1" applyBorder="1" applyAlignment="1">
      <alignment horizontal="left"/>
    </xf>
    <xf numFmtId="1" fontId="14" fillId="6" borderId="0" xfId="0" applyNumberFormat="1" applyFont="1" applyFill="1" applyBorder="1" applyAlignment="1">
      <alignment horizontal="center"/>
    </xf>
    <xf numFmtId="1" fontId="14" fillId="6" borderId="1" xfId="0" applyNumberFormat="1" applyFont="1" applyFill="1" applyBorder="1" applyAlignment="1">
      <alignment horizontal="center"/>
    </xf>
    <xf numFmtId="0" fontId="3" fillId="19" borderId="8" xfId="0" applyFont="1" applyFill="1" applyBorder="1" applyAlignment="1">
      <alignment horizontal="center"/>
    </xf>
    <xf numFmtId="0" fontId="3" fillId="8" borderId="8" xfId="0" applyFont="1" applyFill="1" applyBorder="1" applyAlignment="1">
      <alignment horizontal="center"/>
    </xf>
    <xf numFmtId="0" fontId="6" fillId="20" borderId="12" xfId="0" applyFont="1" applyFill="1" applyBorder="1" applyAlignment="1">
      <alignment horizontal="center"/>
    </xf>
    <xf numFmtId="1" fontId="14" fillId="6" borderId="24" xfId="0" applyNumberFormat="1" applyFont="1" applyFill="1" applyBorder="1" applyAlignment="1">
      <alignment horizontal="center"/>
    </xf>
    <xf numFmtId="1" fontId="14" fillId="6" borderId="6" xfId="0" applyNumberFormat="1" applyFont="1" applyFill="1" applyBorder="1" applyAlignment="1">
      <alignment horizontal="center"/>
    </xf>
    <xf numFmtId="0" fontId="9" fillId="5" borderId="3" xfId="5" applyFont="1" applyFill="1" applyBorder="1" applyAlignment="1">
      <alignment horizontal="center" wrapText="1"/>
    </xf>
    <xf numFmtId="0" fontId="9" fillId="5" borderId="6" xfId="5" applyFont="1" applyFill="1" applyBorder="1" applyAlignment="1">
      <alignment horizontal="center" wrapText="1"/>
    </xf>
    <xf numFmtId="0" fontId="3" fillId="2" borderId="9" xfId="0" applyFont="1" applyFill="1" applyBorder="1" applyAlignment="1">
      <alignment horizontal="center"/>
    </xf>
    <xf numFmtId="0" fontId="3" fillId="2" borderId="11" xfId="0" applyFont="1" applyFill="1" applyBorder="1" applyAlignment="1">
      <alignment horizont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10" xfId="0" applyFont="1" applyFill="1" applyBorder="1" applyAlignment="1">
      <alignment horizontal="center"/>
    </xf>
    <xf numFmtId="0" fontId="9" fillId="5" borderId="2" xfId="5" applyFont="1" applyFill="1" applyBorder="1" applyAlignment="1" applyProtection="1">
      <alignment horizontal="center" wrapText="1"/>
      <protection locked="0"/>
    </xf>
    <xf numFmtId="0" fontId="9" fillId="5" borderId="5" xfId="5" applyFont="1" applyFill="1" applyBorder="1" applyAlignment="1" applyProtection="1">
      <alignment horizontal="center" wrapText="1"/>
      <protection locked="0"/>
    </xf>
    <xf numFmtId="0" fontId="3" fillId="16" borderId="40" xfId="0" applyFont="1" applyFill="1" applyBorder="1" applyAlignment="1" applyProtection="1">
      <alignment horizontal="center"/>
      <protection locked="0"/>
    </xf>
    <xf numFmtId="0" fontId="3" fillId="16" borderId="41" xfId="0" applyFont="1" applyFill="1" applyBorder="1" applyAlignment="1" applyProtection="1">
      <alignment horizontal="center"/>
      <protection locked="0"/>
    </xf>
    <xf numFmtId="0" fontId="9" fillId="5" borderId="2" xfId="5" applyFont="1" applyFill="1" applyBorder="1" applyAlignment="1">
      <alignment horizontal="center" wrapText="1"/>
    </xf>
    <xf numFmtId="0" fontId="9" fillId="5" borderId="5" xfId="5" applyFont="1" applyFill="1" applyBorder="1" applyAlignment="1">
      <alignment horizontal="center" wrapText="1"/>
    </xf>
  </cellXfs>
  <cellStyles count="6">
    <cellStyle name="Currency" xfId="3" builtinId="4"/>
    <cellStyle name="Followed Hyperlink" xfId="1" builtinId="9" hidden="1"/>
    <cellStyle name="Followed Hyperlink" xfId="2" builtinId="9" hidden="1"/>
    <cellStyle name="Hyperlink" xfId="5" builtinId="8"/>
    <cellStyle name="Normal" xfId="0" builtinId="0"/>
    <cellStyle name="Normal 2" xfId="4" xr:uid="{00000000-0005-0000-0000-000005000000}"/>
  </cellStyles>
  <dxfs count="199">
    <dxf>
      <font>
        <b/>
      </font>
    </dxf>
    <dxf>
      <font>
        <b/>
      </font>
    </dxf>
    <dxf>
      <font>
        <b/>
      </font>
    </dxf>
    <dxf>
      <font>
        <b/>
      </font>
    </dxf>
    <dxf>
      <font>
        <b/>
      </font>
    </dxf>
    <dxf>
      <font>
        <b/>
      </font>
    </dxf>
    <dxf>
      <numFmt numFmtId="167" formatCode="&quot;$&quot;#,##0.00"/>
    </dxf>
    <dxf>
      <numFmt numFmtId="34" formatCode="_(&quot;$&quot;* #,##0.00_);_(&quot;$&quot;* \(#,##0.00\);_(&quot;$&quot;* &quot;-&quot;??_);_(@_)"/>
    </dxf>
    <dxf>
      <numFmt numFmtId="34" formatCode="_(&quot;$&quot;* #,##0.00_);_(&quot;$&quot;* \(#,##0.00\);_(&quot;$&quot;* &quot;-&quot;??_);_(@_)"/>
    </dxf>
    <dxf>
      <numFmt numFmtId="165" formatCode="_(&quot;$&quot;* #,##0.0_);_(&quot;$&quot;* \(#,##0.0\);_(&quot;$&quot;* &quot;-&quot;?_);_(@_)"/>
      <protection locked="1" hidden="0"/>
    </dxf>
    <dxf>
      <numFmt numFmtId="165" formatCode="_(&quot;$&quot;* #,##0.0_);_(&quot;$&quot;* \(#,##0.0\);_(&quot;$&quot;* &quot;-&quot;?_);_(@_)"/>
      <protection locked="1" hidden="0"/>
    </dxf>
    <dxf>
      <font>
        <b val="0"/>
        <i val="0"/>
        <strike val="0"/>
        <condense val="0"/>
        <extend val="0"/>
        <outline val="0"/>
        <shadow val="0"/>
        <u val="none"/>
        <vertAlign val="baseline"/>
        <sz val="11"/>
        <color theme="1"/>
        <name val="Calibri"/>
        <family val="2"/>
        <scheme val="minor"/>
      </font>
      <numFmt numFmtId="34" formatCode="_(&quot;$&quot;* #,##0.00_);_(&quot;$&quot;* \(#,##0.00\);_(&quot;$&quot;* &quot;-&quot;??_);_(@_)"/>
      <alignment horizontal="right"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0" formatCode="General"/>
      <alignment horizontal="right" textRotation="0" indent="0" justifyLastLine="0" shrinkToFit="0" readingOrder="0"/>
      <protection locked="0" hidden="0"/>
    </dxf>
    <dxf>
      <font>
        <b val="0"/>
        <i val="0"/>
        <strike val="0"/>
        <condense val="0"/>
        <extend val="0"/>
        <outline val="0"/>
        <shadow val="0"/>
        <u val="none"/>
        <vertAlign val="baseline"/>
        <sz val="11"/>
        <color theme="1"/>
        <name val="Calibri"/>
        <family val="2"/>
        <scheme val="minor"/>
      </font>
      <protection locked="0" hidden="0"/>
    </dxf>
    <dxf>
      <protection locked="0" hidden="0"/>
    </dxf>
    <dxf>
      <protection locked="0" hidden="0"/>
    </dxf>
    <dxf>
      <alignment horizontal="left" vertical="bottom" textRotation="0" wrapText="0" indent="0" justifyLastLine="0" shrinkToFit="0" readingOrder="0"/>
      <protection locked="0" hidden="0"/>
    </dxf>
    <dxf>
      <numFmt numFmtId="2" formatCode="0.00"/>
      <fill>
        <patternFill patternType="none">
          <fgColor indexed="64"/>
          <bgColor indexed="65"/>
        </patternFill>
      </fill>
      <alignment horizontal="left" vertical="bottom" textRotation="0" wrapText="0" indent="0" justifyLastLine="0" shrinkToFit="0" readingOrder="0"/>
      <protection locked="0" hidden="0"/>
    </dxf>
    <dxf>
      <numFmt numFmtId="164" formatCode="0.0"/>
      <fill>
        <patternFill patternType="solid">
          <fgColor indexed="64"/>
          <bgColor rgb="FFFFFF00"/>
        </patternFill>
      </fill>
      <protection locked="0" hidden="0"/>
    </dxf>
    <dxf>
      <protection locked="0" hidden="0"/>
    </dxf>
    <dxf>
      <protection locked="0" hidden="0"/>
    </dxf>
    <dxf>
      <protection locked="0" hidden="0"/>
    </dxf>
    <dxf>
      <protection locked="1" hidden="0"/>
    </dxf>
    <dxf>
      <protection locked="1" hidden="0"/>
    </dxf>
    <dxf>
      <protection locked="1" hidden="0"/>
    </dxf>
    <dxf>
      <protection locked="1" hidden="0"/>
    </dxf>
    <dxf>
      <numFmt numFmtId="0" formatCode="General"/>
      <protection locked="1" hidden="0"/>
    </dxf>
    <dxf>
      <protection locked="0" hidden="0"/>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protection locked="0" hidden="0"/>
    </dxf>
    <dxf>
      <numFmt numFmtId="34" formatCode="_(&quot;$&quot;* #,##0.00_);_(&quot;$&quot;* \(#,##0.00\);_(&quot;$&quot;* &quot;-&quot;??_);_(@_)"/>
    </dxf>
    <dxf>
      <numFmt numFmtId="34" formatCode="_(&quot;$&quot;* #,##0.00_);_(&quot;$&quot;* \(#,##0.00\);_(&quot;$&quot;* &quot;-&quot;??_);_(@_)"/>
    </dxf>
    <dxf>
      <font>
        <b val="0"/>
        <i val="0"/>
        <strike val="0"/>
        <condense val="0"/>
        <extend val="0"/>
        <outline val="0"/>
        <shadow val="0"/>
        <u val="none"/>
        <vertAlign val="baseline"/>
        <sz val="11"/>
        <color theme="1"/>
        <name val="Calibri"/>
        <family val="2"/>
        <scheme val="minor"/>
      </font>
      <numFmt numFmtId="0" formatCode="General"/>
    </dxf>
    <dxf>
      <font>
        <b val="0"/>
        <i val="0"/>
        <strike val="0"/>
        <condense val="0"/>
        <extend val="0"/>
        <outline val="0"/>
        <shadow val="0"/>
        <u val="none"/>
        <vertAlign val="baseline"/>
        <sz val="11"/>
        <color theme="1"/>
        <name val="Calibri"/>
        <family val="2"/>
        <scheme val="minor"/>
      </font>
      <numFmt numFmtId="34" formatCode="_(&quot;$&quot;* #,##0.00_);_(&quot;$&quot;* \(#,##0.00\);_(&quot;$&quot;* &quot;-&quot;??_);_(@_)"/>
    </dxf>
    <dxf>
      <numFmt numFmtId="0" formatCode="General"/>
    </dxf>
    <dxf>
      <numFmt numFmtId="34" formatCode="_(&quot;$&quot;* #,##0.00_);_(&quot;$&quot;* \(#,##0.00\);_(&quot;$&quot;* &quot;-&quot;??_);_(@_)"/>
    </dxf>
    <dxf>
      <numFmt numFmtId="0" formatCode="General"/>
    </dxf>
    <dxf>
      <numFmt numFmtId="34" formatCode="_(&quot;$&quot;* #,##0.00_);_(&quot;$&quot;* \(#,##0.00\);_(&quot;$&quot;* &quot;-&quot;??_);_(@_)"/>
    </dxf>
    <dxf>
      <numFmt numFmtId="0" formatCode="General"/>
    </dxf>
    <dxf>
      <numFmt numFmtId="34" formatCode="_(&quot;$&quot;* #,##0.00_);_(&quot;$&quot;* \(#,##0.00\);_(&quot;$&quot;* &quot;-&quot;??_);_(@_)"/>
    </dxf>
    <dxf>
      <alignment horizontal="center" vertical="bottom" textRotation="0" wrapText="0" indent="0" justifyLastLine="0" shrinkToFit="0" readingOrder="0"/>
    </dxf>
    <dxf>
      <numFmt numFmtId="1" formatCode="0"/>
      <alignment horizontal="center" textRotation="0" wrapText="0" indent="0" justifyLastLine="0" shrinkToFit="0" readingOrder="0"/>
    </dxf>
    <dxf>
      <alignment horizontal="center" vertical="bottom" textRotation="0" wrapText="0" indent="0" justifyLastLine="0" shrinkToFit="0" readingOrder="0"/>
    </dxf>
    <dxf>
      <numFmt numFmtId="1" formatCode="0"/>
      <alignment horizontal="center"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numFmt numFmtId="0" formatCode="General"/>
      <fill>
        <patternFill patternType="none">
          <fgColor indexed="64"/>
          <bgColor auto="1"/>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numFmt numFmtId="0" formatCode="General"/>
      <fill>
        <patternFill patternType="none">
          <fgColor indexed="64"/>
          <bgColor auto="1"/>
        </patternFill>
      </fill>
      <alignment horizontal="left" vertical="bottom" textRotation="0" wrapText="0" indent="0" justifyLastLine="0" shrinkToFit="0" readingOrder="0"/>
    </dxf>
    <dxf>
      <fill>
        <patternFill patternType="solid">
          <fgColor indexed="64"/>
          <bgColor rgb="FFFFFF00"/>
        </patternFill>
      </fill>
      <alignment horizontal="left" vertical="bottom" textRotation="0" wrapText="0" indent="0" justifyLastLine="0" shrinkToFit="0" readingOrder="0"/>
    </dxf>
    <dxf>
      <fill>
        <patternFill patternType="solid">
          <fgColor indexed="64"/>
          <bgColor rgb="FFFFFF00"/>
        </patternFill>
      </fill>
      <alignment horizontal="left" vertical="bottom"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1"/>
        <name val="Calibri"/>
        <family val="2"/>
        <scheme val="minor"/>
      </font>
      <fill>
        <patternFill patternType="solid">
          <fgColor indexed="64"/>
          <bgColor theme="8" tint="0.399975585192419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numFmt numFmtId="0" formatCode="General"/>
      <fill>
        <patternFill patternType="none">
          <fgColor indexed="64"/>
          <bgColor auto="1"/>
        </patternFill>
      </fill>
      <border outline="0">
        <left style="medium">
          <color indexed="64"/>
        </left>
      </border>
    </dxf>
    <dxf>
      <numFmt numFmtId="0" formatCode="General"/>
    </dxf>
    <dxf>
      <numFmt numFmtId="164" formatCode="0.0"/>
      <alignment horizontal="center" vertical="bottom" textRotation="0" wrapText="0" indent="0" justifyLastLine="0" shrinkToFit="0" readingOrder="0"/>
      <border diagonalUp="0" diagonalDown="0">
        <left style="medium">
          <color indexed="64"/>
        </left>
        <right style="medium">
          <color indexed="64"/>
        </right>
        <top/>
        <bottom/>
      </border>
    </dxf>
    <dxf>
      <numFmt numFmtId="0" formatCode="General"/>
      <fill>
        <patternFill patternType="none">
          <fgColor indexed="64"/>
          <bgColor auto="1"/>
        </patternFill>
      </fill>
      <border outline="0">
        <right style="medium">
          <color indexed="64"/>
        </righ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medium">
          <color indexed="64"/>
        </left>
      </border>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4" formatCode="_(&quot;$&quot;* #,##0.00_);_(&quot;$&quot;* \(#,##0.00\);_(&quot;$&quot;* &quot;-&quot;??_);_(@_)"/>
      <border diagonalUp="0" diagonalDown="0" outline="0">
        <left style="medium">
          <color indexed="64"/>
        </left>
        <right/>
        <top/>
        <bottom/>
      </border>
    </dxf>
    <dxf>
      <numFmt numFmtId="34" formatCode="_(&quot;$&quot;* #,##0.00_);_(&quot;$&quot;* \(#,##0.00\);_(&quot;$&quot;* &quot;-&quot;??_);_(@_)"/>
      <border diagonalUp="0" diagonalDown="0">
        <left style="medium">
          <color indexed="64"/>
        </left>
      </border>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border diagonalUp="0" diagonalDown="0" outline="0">
        <left style="medium">
          <color indexed="64"/>
        </left>
        <right/>
        <top/>
        <bottom/>
      </border>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border diagonalUp="0" diagonalDown="0" outline="0">
        <left style="medium">
          <color indexed="64"/>
        </left>
        <right/>
        <top/>
        <bottom/>
      </border>
    </dxf>
    <dxf>
      <numFmt numFmtId="0" formatCode="General"/>
      <alignment horizontal="center" vertical="bottom" textRotation="0" wrapText="0" indent="0" justifyLastLine="0" shrinkToFit="0" readingOrder="0"/>
      <border diagonalUp="0" diagonalDown="0">
        <left style="medium">
          <color indexed="64"/>
        </left>
      </border>
    </dxf>
    <dxf>
      <numFmt numFmtId="0" formatCode="General"/>
      <alignment horizontal="center" vertical="bottom" textRotation="0" wrapText="0" indent="0" justifyLastLine="0" shrinkToFit="0" readingOrder="0"/>
      <border diagonalUp="0" diagonalDown="0" outline="0">
        <left style="medium">
          <color indexed="64"/>
        </left>
        <right style="medium">
          <color indexed="64"/>
        </right>
        <top/>
        <bottom/>
      </border>
    </dxf>
    <dxf>
      <numFmt numFmtId="0" formatCode="General"/>
      <alignment horizontal="center" vertical="bottom" textRotation="0" wrapText="0" indent="0" justifyLastLine="0" shrinkToFit="0" readingOrder="0"/>
      <border diagonalUp="0" diagonalDown="0">
        <left style="medium">
          <color indexed="64"/>
        </left>
        <right style="medium">
          <color indexed="64"/>
        </right>
        <top/>
        <bottom/>
        <vertical/>
        <horizontal/>
      </border>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fill>
        <patternFill patternType="solid">
          <fgColor indexed="64"/>
          <bgColor theme="9" tint="0.39997558519241921"/>
        </patternFill>
      </fill>
      <alignment horizontal="left" vertical="bottom" textRotation="0" wrapText="0" indent="0" justifyLastLine="0" shrinkToFit="0" readingOrder="0"/>
    </dxf>
    <dxf>
      <numFmt numFmtId="0" formatCode="General"/>
      <fill>
        <patternFill patternType="none">
          <fgColor indexed="64"/>
          <bgColor auto="1"/>
        </patternFill>
      </fill>
      <alignment horizontal="left" vertical="bottom" textRotation="0" wrapText="0" indent="0" justifyLastLine="0" shrinkToFit="0" readingOrder="0"/>
      <border diagonalUp="0" diagonalDown="0" outline="0">
        <left/>
        <right style="medium">
          <color indexed="64"/>
        </right>
        <top/>
        <bottom/>
      </border>
    </dxf>
    <dxf>
      <fill>
        <patternFill patternType="solid">
          <fgColor indexed="64"/>
          <bgColor theme="9" tint="0.39997558519241921"/>
        </patternFill>
      </fill>
      <alignment horizontal="left" vertical="bottom" textRotation="0" wrapText="0" indent="0" justifyLastLine="0" shrinkToFit="0" readingOrder="0"/>
    </dxf>
    <dxf>
      <fill>
        <patternFill patternType="solid">
          <fgColor indexed="64"/>
          <bgColor rgb="FFFFFF00"/>
        </patternFill>
      </fill>
      <alignment horizontal="left" vertical="bottom" textRotation="0" wrapText="0" indent="0" justifyLastLine="0" shrinkToFit="0" readingOrder="0"/>
      <border diagonalUp="0" diagonalDown="0" outline="0">
        <left style="medium">
          <color indexed="64"/>
        </left>
        <top/>
        <bottom/>
      </border>
    </dxf>
    <dxf>
      <border outline="0">
        <top style="thin">
          <color indexed="64"/>
        </top>
      </border>
    </dxf>
    <dxf>
      <font>
        <b/>
        <i val="0"/>
        <strike val="0"/>
        <condense val="0"/>
        <extend val="0"/>
        <outline val="0"/>
        <shadow val="0"/>
        <u val="none"/>
        <vertAlign val="baseline"/>
        <sz val="11"/>
        <color theme="1"/>
        <name val="Calibri"/>
        <family val="2"/>
        <scheme val="minor"/>
      </font>
      <fill>
        <patternFill patternType="solid">
          <fgColor indexed="64"/>
          <bgColor theme="8" tint="0.399975585192419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bgColor theme="9" tint="0.79998168889431442"/>
        </patternFill>
      </fill>
    </dxf>
    <dxf>
      <font>
        <strike val="0"/>
        <outline val="0"/>
        <shadow val="0"/>
        <u val="none"/>
        <vertAlign val="baseline"/>
        <sz val="11"/>
        <color auto="1"/>
        <name val="Calibri"/>
        <family val="2"/>
        <scheme val="minor"/>
      </font>
    </dxf>
    <dxf>
      <fill>
        <patternFill patternType="solid">
          <fgColor indexed="64"/>
          <bgColor theme="7" tint="0.59999389629810485"/>
        </patternFill>
      </fill>
      <alignment horizontal="left" vertical="bottom" textRotation="0" wrapText="0" indent="0" justifyLastLine="0" shrinkToFit="0" readingOrder="0"/>
    </dxf>
    <dxf>
      <fill>
        <patternFill patternType="solid">
          <fgColor indexed="64"/>
          <bgColor theme="7" tint="0.59999389629810485"/>
        </patternFill>
      </fill>
    </dxf>
    <dxf>
      <numFmt numFmtId="0" formatCode="General"/>
      <fill>
        <patternFill patternType="none">
          <fgColor indexed="64"/>
          <bgColor auto="1"/>
        </patternFill>
      </fill>
      <alignment horizontal="left" vertical="bottom"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theme="7" tint="0.59999389629810485"/>
        </patternFill>
      </fill>
    </dxf>
    <dxf>
      <fill>
        <patternFill patternType="solid">
          <fgColor indexed="64"/>
          <bgColor theme="7" tint="0.59999389629810485"/>
        </patternFill>
      </fill>
    </dxf>
    <dxf>
      <fill>
        <patternFill patternType="solid">
          <fgColor indexed="64"/>
          <bgColor theme="7" tint="0.59999389629810485"/>
        </patternFill>
      </fill>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fill>
        <patternFill patternType="solid">
          <fgColor indexed="64"/>
          <bgColor theme="7" tint="0.59999389629810485"/>
        </patternFill>
      </fill>
      <alignment horizontal="left" vertical="bottom" textRotation="0" wrapText="0" indent="0" justifyLastLine="0" shrinkToFit="0" readingOrder="0"/>
    </dxf>
    <dxf>
      <fill>
        <patternFill patternType="solid">
          <fgColor indexed="64"/>
          <bgColor theme="7" tint="0.59999389629810485"/>
        </patternFill>
      </fill>
    </dxf>
    <dxf>
      <fill>
        <patternFill patternType="solid">
          <fgColor indexed="64"/>
          <bgColor rgb="FFFFFF00"/>
        </patternFill>
      </fill>
    </dxf>
    <dxf>
      <fill>
        <patternFill patternType="solid">
          <fgColor indexed="64"/>
          <bgColor rgb="FFFFFF00"/>
        </patternFill>
      </fill>
      <alignment horizontal="right" vertical="bottom"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theme="7" tint="0.59999389629810485"/>
        </patternFill>
      </fill>
    </dxf>
    <dxf>
      <fill>
        <patternFill patternType="solid">
          <fgColor indexed="64"/>
          <bgColor theme="7" tint="0.59999389629810485"/>
        </patternFill>
      </fill>
      <alignment horizontal="left" vertical="bottom" textRotation="0" wrapText="0" indent="0" justifyLastLine="0" shrinkToFit="0" readingOrder="0"/>
    </dxf>
    <dxf>
      <fill>
        <patternFill patternType="solid">
          <fgColor indexed="64"/>
          <bgColor theme="7" tint="0.59999389629810485"/>
        </patternFill>
      </fill>
    </dxf>
    <dxf>
      <fill>
        <patternFill patternType="solid">
          <fgColor indexed="64"/>
          <bgColor theme="7" tint="0.59999389629810485"/>
        </patternFill>
      </fill>
      <border diagonalUp="0" diagonalDown="0">
        <left/>
        <right style="thin">
          <color indexed="64"/>
        </right>
        <top/>
        <bottom/>
        <vertical/>
        <horizontal/>
      </border>
    </dxf>
    <dxf>
      <fill>
        <patternFill patternType="solid">
          <fgColor indexed="64"/>
          <bgColor theme="7" tint="0.59999389629810485"/>
        </patternFill>
      </fill>
    </dxf>
    <dxf>
      <numFmt numFmtId="0" formatCode="General"/>
      <fill>
        <patternFill patternType="solid">
          <fgColor indexed="64"/>
          <bgColor theme="7" tint="0.59999389629810485"/>
        </patternFill>
      </fill>
      <border diagonalUp="0" diagonalDown="0">
        <left style="thin">
          <color indexed="64"/>
        </left>
        <right/>
        <top/>
        <bottom/>
        <vertical/>
        <horizontal/>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numFmt numFmtId="2" formatCode="0.00"/>
    </dxf>
    <dxf>
      <alignment horizontal="left" vertical="bottom" textRotation="0" wrapText="0" indent="0" justifyLastLine="0" shrinkToFit="0" readingOrder="0"/>
    </dxf>
    <dxf>
      <fill>
        <patternFill patternType="solid">
          <fgColor indexed="64"/>
          <bgColor theme="7" tint="0.59999389629810485"/>
        </patternFill>
      </fill>
      <alignment horizontal="left" vertical="bottom" textRotation="0" wrapText="0" indent="0" justifyLastLine="0" shrinkToFit="0" readingOrder="0"/>
    </dxf>
    <dxf>
      <numFmt numFmtId="168" formatCode="yyyy\-mm\-dd;@"/>
      <fill>
        <patternFill patternType="solid">
          <fgColor indexed="64"/>
          <bgColor theme="7" tint="0.59999389629810485"/>
        </patternFill>
      </fill>
    </dxf>
    <dxf>
      <numFmt numFmtId="164" formatCode="0.0"/>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theme="7" tint="0.59999389629810485"/>
        </patternFill>
      </fill>
    </dxf>
    <dxf>
      <fill>
        <patternFill patternType="solid">
          <fgColor indexed="64"/>
          <bgColor theme="7" tint="0.59999389629810485"/>
        </patternFill>
      </fill>
    </dxf>
    <dxf>
      <fill>
        <patternFill patternType="solid">
          <fgColor indexed="64"/>
          <bgColor theme="7" tint="0.59999389629810485"/>
        </patternFill>
      </fill>
    </dxf>
    <dxf>
      <fill>
        <patternFill patternType="solid">
          <fgColor indexed="64"/>
          <bgColor theme="7" tint="0.59999389629810485"/>
        </patternFill>
      </fill>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right style="medium">
          <color indexed="64"/>
        </right>
        <top style="medium">
          <color indexed="64"/>
        </top>
        <bottom style="medium">
          <color indexed="64"/>
        </bottom>
      </border>
    </dxf>
    <dxf>
      <border>
        <right style="medium">
          <color indexed="64"/>
        </right>
        <top style="medium">
          <color indexed="64"/>
        </top>
        <bottom style="medium">
          <color indexed="64"/>
        </bottom>
      </border>
    </dxf>
    <dxf>
      <border>
        <right style="medium">
          <color indexed="64"/>
        </right>
        <top style="medium">
          <color indexed="64"/>
        </top>
        <bottom style="medium">
          <color indexed="64"/>
        </bottom>
      </border>
    </dxf>
    <dxf>
      <border>
        <right style="medium">
          <color indexed="64"/>
        </right>
        <top style="medium">
          <color indexed="64"/>
        </top>
        <bottom style="medium">
          <color indexed="64"/>
        </bottom>
      </border>
    </dxf>
    <dxf>
      <border>
        <right style="medium">
          <color indexed="64"/>
        </right>
        <top style="medium">
          <color indexed="64"/>
        </top>
        <bottom style="medium">
          <color indexed="64"/>
        </bottom>
      </border>
    </dxf>
    <dxf>
      <font>
        <color theme="0"/>
      </font>
    </dxf>
    <dxf>
      <font>
        <color theme="0"/>
      </font>
    </dxf>
    <dxf>
      <fill>
        <patternFill>
          <bgColor theme="9" tint="-0.499984740745262"/>
        </patternFill>
      </fill>
    </dxf>
    <dxf>
      <fill>
        <patternFill>
          <bgColor theme="9" tint="-0.499984740745262"/>
        </patternFill>
      </fill>
    </dxf>
    <dxf>
      <fill>
        <patternFill patternType="solid">
          <fgColor indexed="64"/>
          <bgColor theme="8" tint="0.79998168889431442"/>
        </patternFill>
      </fill>
    </dxf>
  </dxfs>
  <tableStyles count="0" defaultTableStyle="TableStyleMedium2" defaultPivotStyle="PivotStyleLight16"/>
  <colors>
    <mruColors>
      <color rgb="FF00BD32"/>
      <color rgb="FFEFF9FF"/>
      <color rgb="FF03C25B"/>
      <color rgb="FFEAEEF3"/>
      <color rgb="FFDAF0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microsoft.com/office/2007/relationships/slicerCache" Target="slicerCaches/slicerCache3.xml"/><Relationship Id="rId26" Type="http://schemas.openxmlformats.org/officeDocument/2006/relationships/calcChain" Target="calcChain.xml"/><Relationship Id="rId3" Type="http://schemas.openxmlformats.org/officeDocument/2006/relationships/worksheet" Target="worksheets/sheet3.xml"/><Relationship Id="rId21" Type="http://schemas.microsoft.com/office/2007/relationships/slicerCache" Target="slicerCaches/slicerCache6.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07/relationships/slicerCache" Target="slicerCaches/slicerCache2.xml"/><Relationship Id="rId25" Type="http://schemas.openxmlformats.org/officeDocument/2006/relationships/sheetMetadata" Target="metadata.xml"/><Relationship Id="rId2" Type="http://schemas.openxmlformats.org/officeDocument/2006/relationships/worksheet" Target="worksheets/sheet2.xml"/><Relationship Id="rId16" Type="http://schemas.microsoft.com/office/2007/relationships/slicerCache" Target="slicerCaches/slicerCache1.xml"/><Relationship Id="rId20" Type="http://schemas.microsoft.com/office/2007/relationships/slicerCache" Target="slicerCaches/slicerCache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pivotCacheDefinition" Target="pivotCache/pivotCacheDefinition4.xml"/><Relationship Id="rId23" Type="http://schemas.openxmlformats.org/officeDocument/2006/relationships/styles" Target="styles.xml"/><Relationship Id="rId10" Type="http://schemas.openxmlformats.org/officeDocument/2006/relationships/worksheet" Target="worksheets/sheet10.xml"/><Relationship Id="rId19" Type="http://schemas.microsoft.com/office/2007/relationships/slicerCache" Target="slicerCaches/slicerCache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3.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3</xdr:row>
      <xdr:rowOff>50800</xdr:rowOff>
    </xdr:from>
    <xdr:to>
      <xdr:col>6</xdr:col>
      <xdr:colOff>342900</xdr:colOff>
      <xdr:row>7</xdr:row>
      <xdr:rowOff>22225</xdr:rowOff>
    </xdr:to>
    <xdr:pic>
      <xdr:nvPicPr>
        <xdr:cNvPr id="2" name="Picture 1">
          <a:extLst>
            <a:ext uri="{FF2B5EF4-FFF2-40B4-BE49-F238E27FC236}">
              <a16:creationId xmlns:a16="http://schemas.microsoft.com/office/drawing/2014/main" id="{1713F99D-B5AB-4F37-AC66-D9092A0CAD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0" y="635000"/>
          <a:ext cx="2476500" cy="746125"/>
        </a:xfrm>
        <a:prstGeom prst="rect">
          <a:avLst/>
        </a:prstGeom>
      </xdr:spPr>
    </xdr:pic>
    <xdr:clientData/>
  </xdr:twoCellAnchor>
  <xdr:twoCellAnchor>
    <xdr:from>
      <xdr:col>18</xdr:col>
      <xdr:colOff>190500</xdr:colOff>
      <xdr:row>20</xdr:row>
      <xdr:rowOff>95249</xdr:rowOff>
    </xdr:from>
    <xdr:to>
      <xdr:col>22</xdr:col>
      <xdr:colOff>266700</xdr:colOff>
      <xdr:row>25</xdr:row>
      <xdr:rowOff>123824</xdr:rowOff>
    </xdr:to>
    <xdr:sp macro="" textlink="">
      <xdr:nvSpPr>
        <xdr:cNvPr id="5" name="TextBox 4">
          <a:extLst>
            <a:ext uri="{FF2B5EF4-FFF2-40B4-BE49-F238E27FC236}">
              <a16:creationId xmlns:a16="http://schemas.microsoft.com/office/drawing/2014/main" id="{EC8D2891-2B91-412A-9716-613E613751C2}"/>
            </a:ext>
          </a:extLst>
        </xdr:cNvPr>
        <xdr:cNvSpPr txBox="1"/>
      </xdr:nvSpPr>
      <xdr:spPr>
        <a:xfrm>
          <a:off x="14316075" y="4076699"/>
          <a:ext cx="3409950" cy="1009650"/>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NOTE: </a:t>
          </a:r>
          <a:r>
            <a:rPr lang="en-US" sz="1100" b="0"/>
            <a:t>After any</a:t>
          </a:r>
          <a:r>
            <a:rPr lang="en-US" sz="1100" b="0" baseline="0"/>
            <a:t> updates to the Asset Inventory tabs, </a:t>
          </a:r>
          <a:r>
            <a:rPr lang="en-US" sz="1100"/>
            <a:t>Right click anywhere within the SYSTEM</a:t>
          </a:r>
          <a:r>
            <a:rPr lang="en-US" sz="1100" baseline="0"/>
            <a:t> COMPONENT</a:t>
          </a:r>
          <a:r>
            <a:rPr lang="en-US" sz="1100"/>
            <a:t> table and click "Refresh" to update data.  (Data will not update automatically, only when manually refreshed or when file is closed and re-opened.)</a:t>
          </a:r>
        </a:p>
      </xdr:txBody>
    </xdr:sp>
    <xdr:clientData/>
  </xdr:twoCellAnchor>
  <xdr:twoCellAnchor>
    <xdr:from>
      <xdr:col>17</xdr:col>
      <xdr:colOff>28575</xdr:colOff>
      <xdr:row>19</xdr:row>
      <xdr:rowOff>152400</xdr:rowOff>
    </xdr:from>
    <xdr:to>
      <xdr:col>18</xdr:col>
      <xdr:colOff>180975</xdr:colOff>
      <xdr:row>22</xdr:row>
      <xdr:rowOff>9525</xdr:rowOff>
    </xdr:to>
    <xdr:cxnSp macro="">
      <xdr:nvCxnSpPr>
        <xdr:cNvPr id="7" name="Straight Arrow Connector 6">
          <a:extLst>
            <a:ext uri="{FF2B5EF4-FFF2-40B4-BE49-F238E27FC236}">
              <a16:creationId xmlns:a16="http://schemas.microsoft.com/office/drawing/2014/main" id="{9AEF222D-8E40-4734-B433-D84BF43900CC}"/>
            </a:ext>
          </a:extLst>
        </xdr:cNvPr>
        <xdr:cNvCxnSpPr/>
      </xdr:nvCxnSpPr>
      <xdr:spPr>
        <a:xfrm flipH="1" flipV="1">
          <a:off x="13525500" y="3933825"/>
          <a:ext cx="781050" cy="466725"/>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371475</xdr:colOff>
      <xdr:row>22</xdr:row>
      <xdr:rowOff>28575</xdr:rowOff>
    </xdr:from>
    <xdr:to>
      <xdr:col>12</xdr:col>
      <xdr:colOff>1228725</xdr:colOff>
      <xdr:row>26</xdr:row>
      <xdr:rowOff>47625</xdr:rowOff>
    </xdr:to>
    <xdr:sp macro="" textlink="">
      <xdr:nvSpPr>
        <xdr:cNvPr id="9" name="TextBox 8">
          <a:extLst>
            <a:ext uri="{FF2B5EF4-FFF2-40B4-BE49-F238E27FC236}">
              <a16:creationId xmlns:a16="http://schemas.microsoft.com/office/drawing/2014/main" id="{294903C3-603A-40A5-8783-717BA1ECBD19}"/>
            </a:ext>
          </a:extLst>
        </xdr:cNvPr>
        <xdr:cNvSpPr txBox="1"/>
      </xdr:nvSpPr>
      <xdr:spPr>
        <a:xfrm>
          <a:off x="5534025" y="4419600"/>
          <a:ext cx="3771900" cy="781050"/>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In the absence of hard data</a:t>
          </a:r>
          <a:r>
            <a:rPr lang="en-US" sz="1100" b="0" u="none" baseline="0"/>
            <a:t>, the following assumptions are used for quantites of Hydrants, Manholes, and Valves.  These assumptions can be left as is, or modified to more closely reflect community infrastructure configuration:</a:t>
          </a:r>
          <a:endParaRPr lang="en-US" sz="1100" b="0" u="none"/>
        </a:p>
      </xdr:txBody>
    </xdr:sp>
    <xdr:clientData/>
  </xdr:twoCellAnchor>
  <xdr:twoCellAnchor>
    <xdr:from>
      <xdr:col>18</xdr:col>
      <xdr:colOff>171450</xdr:colOff>
      <xdr:row>15</xdr:row>
      <xdr:rowOff>57149</xdr:rowOff>
    </xdr:from>
    <xdr:to>
      <xdr:col>22</xdr:col>
      <xdr:colOff>514350</xdr:colOff>
      <xdr:row>19</xdr:row>
      <xdr:rowOff>76199</xdr:rowOff>
    </xdr:to>
    <xdr:sp macro="" textlink="">
      <xdr:nvSpPr>
        <xdr:cNvPr id="12" name="TextBox 11">
          <a:extLst>
            <a:ext uri="{FF2B5EF4-FFF2-40B4-BE49-F238E27FC236}">
              <a16:creationId xmlns:a16="http://schemas.microsoft.com/office/drawing/2014/main" id="{5AB52C2B-36F6-4E75-BC78-E90BBC1BC5D0}"/>
            </a:ext>
          </a:extLst>
        </xdr:cNvPr>
        <xdr:cNvSpPr txBox="1"/>
      </xdr:nvSpPr>
      <xdr:spPr>
        <a:xfrm>
          <a:off x="14306550" y="3067049"/>
          <a:ext cx="3676650" cy="790575"/>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If community specific quantites for Hydrants, Valves</a:t>
          </a:r>
          <a:r>
            <a:rPr lang="en-US" sz="1100" b="0" u="none" baseline="0"/>
            <a:t> and Manholes is known, enter quantities in orange squares here.  If quantites are unknown, enter Assumed Totals from ASSUMPTIONS, this page.</a:t>
          </a:r>
          <a:endParaRPr lang="en-US" sz="1100" b="0" u="none"/>
        </a:p>
      </xdr:txBody>
    </xdr:sp>
    <xdr:clientData/>
  </xdr:twoCellAnchor>
  <xdr:twoCellAnchor>
    <xdr:from>
      <xdr:col>17</xdr:col>
      <xdr:colOff>38100</xdr:colOff>
      <xdr:row>16</xdr:row>
      <xdr:rowOff>57150</xdr:rowOff>
    </xdr:from>
    <xdr:to>
      <xdr:col>18</xdr:col>
      <xdr:colOff>171450</xdr:colOff>
      <xdr:row>16</xdr:row>
      <xdr:rowOff>85725</xdr:rowOff>
    </xdr:to>
    <xdr:cxnSp macro="">
      <xdr:nvCxnSpPr>
        <xdr:cNvPr id="13" name="Straight Arrow Connector 12">
          <a:extLst>
            <a:ext uri="{FF2B5EF4-FFF2-40B4-BE49-F238E27FC236}">
              <a16:creationId xmlns:a16="http://schemas.microsoft.com/office/drawing/2014/main" id="{83E13E16-3F5C-4CCF-99C5-D6DF440FBD7D}"/>
            </a:ext>
          </a:extLst>
        </xdr:cNvPr>
        <xdr:cNvCxnSpPr/>
      </xdr:nvCxnSpPr>
      <xdr:spPr>
        <a:xfrm flipH="1">
          <a:off x="13544550" y="3257550"/>
          <a:ext cx="762000" cy="28575"/>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17</xdr:row>
      <xdr:rowOff>71437</xdr:rowOff>
    </xdr:from>
    <xdr:to>
      <xdr:col>18</xdr:col>
      <xdr:colOff>171450</xdr:colOff>
      <xdr:row>17</xdr:row>
      <xdr:rowOff>104775</xdr:rowOff>
    </xdr:to>
    <xdr:cxnSp macro="">
      <xdr:nvCxnSpPr>
        <xdr:cNvPr id="15" name="Straight Arrow Connector 14">
          <a:extLst>
            <a:ext uri="{FF2B5EF4-FFF2-40B4-BE49-F238E27FC236}">
              <a16:creationId xmlns:a16="http://schemas.microsoft.com/office/drawing/2014/main" id="{019ABE20-E7B5-4E76-B718-477CD08AAE1F}"/>
            </a:ext>
          </a:extLst>
        </xdr:cNvPr>
        <xdr:cNvCxnSpPr>
          <a:stCxn id="12" idx="1"/>
        </xdr:cNvCxnSpPr>
      </xdr:nvCxnSpPr>
      <xdr:spPr>
        <a:xfrm flipH="1">
          <a:off x="13592175" y="3462337"/>
          <a:ext cx="714375" cy="33338"/>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66675</xdr:colOff>
      <xdr:row>15</xdr:row>
      <xdr:rowOff>114300</xdr:rowOff>
    </xdr:from>
    <xdr:to>
      <xdr:col>18</xdr:col>
      <xdr:colOff>180975</xdr:colOff>
      <xdr:row>15</xdr:row>
      <xdr:rowOff>161925</xdr:rowOff>
    </xdr:to>
    <xdr:cxnSp macro="">
      <xdr:nvCxnSpPr>
        <xdr:cNvPr id="17" name="Straight Arrow Connector 16">
          <a:extLst>
            <a:ext uri="{FF2B5EF4-FFF2-40B4-BE49-F238E27FC236}">
              <a16:creationId xmlns:a16="http://schemas.microsoft.com/office/drawing/2014/main" id="{990DB2A2-DFD0-4843-A10D-4437B6439321}"/>
            </a:ext>
          </a:extLst>
        </xdr:cNvPr>
        <xdr:cNvCxnSpPr/>
      </xdr:nvCxnSpPr>
      <xdr:spPr>
        <a:xfrm flipH="1" flipV="1">
          <a:off x="13573125" y="3124200"/>
          <a:ext cx="742950" cy="47625"/>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1095375</xdr:colOff>
      <xdr:row>16</xdr:row>
      <xdr:rowOff>19051</xdr:rowOff>
    </xdr:from>
    <xdr:to>
      <xdr:col>12</xdr:col>
      <xdr:colOff>1562101</xdr:colOff>
      <xdr:row>41</xdr:row>
      <xdr:rowOff>19053</xdr:rowOff>
    </xdr:to>
    <xdr:cxnSp macro="">
      <xdr:nvCxnSpPr>
        <xdr:cNvPr id="8" name="Connector: Elbow 7">
          <a:extLst>
            <a:ext uri="{FF2B5EF4-FFF2-40B4-BE49-F238E27FC236}">
              <a16:creationId xmlns:a16="http://schemas.microsoft.com/office/drawing/2014/main" id="{098C8F73-F494-4446-97FF-A5A50C6C0980}"/>
            </a:ext>
          </a:extLst>
        </xdr:cNvPr>
        <xdr:cNvCxnSpPr/>
      </xdr:nvCxnSpPr>
      <xdr:spPr>
        <a:xfrm rot="5400000">
          <a:off x="6986587" y="5405439"/>
          <a:ext cx="4838702" cy="466726"/>
        </a:xfrm>
        <a:prstGeom prst="bentConnector3">
          <a:avLst>
            <a:gd name="adj1" fmla="val 50000"/>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88900</xdr:colOff>
      <xdr:row>2</xdr:row>
      <xdr:rowOff>12700</xdr:rowOff>
    </xdr:from>
    <xdr:to>
      <xdr:col>2</xdr:col>
      <xdr:colOff>76200</xdr:colOff>
      <xdr:row>8</xdr:row>
      <xdr:rowOff>12700</xdr:rowOff>
    </xdr:to>
    <xdr:sp macro="" textlink="">
      <xdr:nvSpPr>
        <xdr:cNvPr id="14" name="TextBox 13">
          <a:extLst>
            <a:ext uri="{FF2B5EF4-FFF2-40B4-BE49-F238E27FC236}">
              <a16:creationId xmlns:a16="http://schemas.microsoft.com/office/drawing/2014/main" id="{CECAB569-2B9F-4688-943F-249AA9ECA9D7}"/>
            </a:ext>
          </a:extLst>
        </xdr:cNvPr>
        <xdr:cNvSpPr txBox="1"/>
      </xdr:nvSpPr>
      <xdr:spPr>
        <a:xfrm>
          <a:off x="88900" y="406400"/>
          <a:ext cx="1206500" cy="1155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a:t>NATION LOGO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285751</xdr:colOff>
      <xdr:row>0</xdr:row>
      <xdr:rowOff>76201</xdr:rowOff>
    </xdr:from>
    <xdr:to>
      <xdr:col>1</xdr:col>
      <xdr:colOff>1057957</xdr:colOff>
      <xdr:row>4</xdr:row>
      <xdr:rowOff>72391</xdr:rowOff>
    </xdr:to>
    <xdr:pic>
      <xdr:nvPicPr>
        <xdr:cNvPr id="2" name="Picture 1">
          <a:extLst>
            <a:ext uri="{FF2B5EF4-FFF2-40B4-BE49-F238E27FC236}">
              <a16:creationId xmlns:a16="http://schemas.microsoft.com/office/drawing/2014/main" id="{11410A85-D2D4-4B6F-ACC2-AC18D510B5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176" y="76201"/>
          <a:ext cx="2476500" cy="742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285751</xdr:colOff>
      <xdr:row>0</xdr:row>
      <xdr:rowOff>76201</xdr:rowOff>
    </xdr:from>
    <xdr:to>
      <xdr:col>1</xdr:col>
      <xdr:colOff>1041560</xdr:colOff>
      <xdr:row>4</xdr:row>
      <xdr:rowOff>53341</xdr:rowOff>
    </xdr:to>
    <xdr:pic>
      <xdr:nvPicPr>
        <xdr:cNvPr id="2" name="Picture 1">
          <a:extLst>
            <a:ext uri="{FF2B5EF4-FFF2-40B4-BE49-F238E27FC236}">
              <a16:creationId xmlns:a16="http://schemas.microsoft.com/office/drawing/2014/main" id="{847C664B-7860-4760-B548-E1B0CA49D7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76201"/>
          <a:ext cx="2476500" cy="742950"/>
        </a:xfrm>
        <a:prstGeom prst="rect">
          <a:avLst/>
        </a:prstGeom>
      </xdr:spPr>
    </xdr:pic>
    <xdr:clientData/>
  </xdr:twoCellAnchor>
  <xdr:twoCellAnchor>
    <xdr:from>
      <xdr:col>5</xdr:col>
      <xdr:colOff>759620</xdr:colOff>
      <xdr:row>3</xdr:row>
      <xdr:rowOff>183356</xdr:rowOff>
    </xdr:from>
    <xdr:to>
      <xdr:col>7</xdr:col>
      <xdr:colOff>954882</xdr:colOff>
      <xdr:row>9</xdr:row>
      <xdr:rowOff>38100</xdr:rowOff>
    </xdr:to>
    <xdr:sp macro="" textlink="">
      <xdr:nvSpPr>
        <xdr:cNvPr id="3" name="TextBox 2">
          <a:extLst>
            <a:ext uri="{FF2B5EF4-FFF2-40B4-BE49-F238E27FC236}">
              <a16:creationId xmlns:a16="http://schemas.microsoft.com/office/drawing/2014/main" id="{2ED98B90-F526-4CB1-B63A-8F5AE7FEC247}"/>
            </a:ext>
          </a:extLst>
        </xdr:cNvPr>
        <xdr:cNvSpPr txBox="1"/>
      </xdr:nvSpPr>
      <xdr:spPr>
        <a:xfrm>
          <a:off x="8486776" y="754856"/>
          <a:ext cx="3409950" cy="1009650"/>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NOTE: </a:t>
          </a:r>
          <a:r>
            <a:rPr lang="en-US" sz="1100" b="0"/>
            <a:t>After any</a:t>
          </a:r>
          <a:r>
            <a:rPr lang="en-US" sz="1100" b="0" baseline="0"/>
            <a:t> updates to the sanitary Inventory, </a:t>
          </a:r>
          <a:r>
            <a:rPr lang="en-US" sz="1100"/>
            <a:t>Right click anywhere within the SANITARY MAIN SUMMARY table and click "Refresh" to update data.  (Data will not update automatically, only when manually refreshed or when file is closed and re-opened.)</a:t>
          </a:r>
        </a:p>
      </xdr:txBody>
    </xdr:sp>
    <xdr:clientData/>
  </xdr:twoCellAnchor>
  <xdr:twoCellAnchor>
    <xdr:from>
      <xdr:col>5</xdr:col>
      <xdr:colOff>0</xdr:colOff>
      <xdr:row>4</xdr:row>
      <xdr:rowOff>119062</xdr:rowOff>
    </xdr:from>
    <xdr:to>
      <xdr:col>5</xdr:col>
      <xdr:colOff>750094</xdr:colOff>
      <xdr:row>5</xdr:row>
      <xdr:rowOff>107156</xdr:rowOff>
    </xdr:to>
    <xdr:cxnSp macro="">
      <xdr:nvCxnSpPr>
        <xdr:cNvPr id="4" name="Straight Arrow Connector 3">
          <a:extLst>
            <a:ext uri="{FF2B5EF4-FFF2-40B4-BE49-F238E27FC236}">
              <a16:creationId xmlns:a16="http://schemas.microsoft.com/office/drawing/2014/main" id="{63C8C35C-BE89-4538-A1C6-F05362879E66}"/>
            </a:ext>
          </a:extLst>
        </xdr:cNvPr>
        <xdr:cNvCxnSpPr/>
      </xdr:nvCxnSpPr>
      <xdr:spPr>
        <a:xfrm flipH="1" flipV="1">
          <a:off x="7620000" y="881062"/>
          <a:ext cx="750094" cy="178594"/>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71438</xdr:colOff>
      <xdr:row>0</xdr:row>
      <xdr:rowOff>147639</xdr:rowOff>
    </xdr:from>
    <xdr:to>
      <xdr:col>1</xdr:col>
      <xdr:colOff>1107758</xdr:colOff>
      <xdr:row>4</xdr:row>
      <xdr:rowOff>118006</xdr:rowOff>
    </xdr:to>
    <xdr:pic>
      <xdr:nvPicPr>
        <xdr:cNvPr id="2" name="Picture 1">
          <a:extLst>
            <a:ext uri="{FF2B5EF4-FFF2-40B4-BE49-F238E27FC236}">
              <a16:creationId xmlns:a16="http://schemas.microsoft.com/office/drawing/2014/main" id="{3BB4F07E-68DA-4ADE-8568-1212077E8C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8" y="147639"/>
          <a:ext cx="2478881" cy="7442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171450</xdr:rowOff>
    </xdr:from>
    <xdr:to>
      <xdr:col>2</xdr:col>
      <xdr:colOff>269052</xdr:colOff>
      <xdr:row>5</xdr:row>
      <xdr:rowOff>9525</xdr:rowOff>
    </xdr:to>
    <xdr:pic>
      <xdr:nvPicPr>
        <xdr:cNvPr id="2" name="Picture 1">
          <a:extLst>
            <a:ext uri="{FF2B5EF4-FFF2-40B4-BE49-F238E27FC236}">
              <a16:creationId xmlns:a16="http://schemas.microsoft.com/office/drawing/2014/main" id="{2E3A5BB6-244B-4DA9-94B1-A9EBFEBB0754}"/>
            </a:ext>
          </a:extLst>
        </xdr:cNvPr>
        <xdr:cNvPicPr>
          <a:picLocks noChangeAspect="1"/>
        </xdr:cNvPicPr>
      </xdr:nvPicPr>
      <xdr:blipFill>
        <a:blip xmlns:r="http://schemas.openxmlformats.org/officeDocument/2006/relationships" r:embed="rId1"/>
        <a:stretch>
          <a:fillRect/>
        </a:stretch>
      </xdr:blipFill>
      <xdr:spPr>
        <a:xfrm>
          <a:off x="38100" y="171450"/>
          <a:ext cx="2647127" cy="790575"/>
        </a:xfrm>
        <a:prstGeom prst="rect">
          <a:avLst/>
        </a:prstGeom>
      </xdr:spPr>
    </xdr:pic>
    <xdr:clientData/>
  </xdr:twoCellAnchor>
  <xdr:twoCellAnchor>
    <xdr:from>
      <xdr:col>3</xdr:col>
      <xdr:colOff>0</xdr:colOff>
      <xdr:row>4</xdr:row>
      <xdr:rowOff>76200</xdr:rowOff>
    </xdr:from>
    <xdr:to>
      <xdr:col>3</xdr:col>
      <xdr:colOff>3838575</xdr:colOff>
      <xdr:row>10</xdr:row>
      <xdr:rowOff>95249</xdr:rowOff>
    </xdr:to>
    <xdr:sp macro="" textlink="">
      <xdr:nvSpPr>
        <xdr:cNvPr id="4" name="TextBox 3">
          <a:extLst>
            <a:ext uri="{FF2B5EF4-FFF2-40B4-BE49-F238E27FC236}">
              <a16:creationId xmlns:a16="http://schemas.microsoft.com/office/drawing/2014/main" id="{1F88831A-F6A8-4DEF-83CB-B021D171E617}"/>
            </a:ext>
          </a:extLst>
        </xdr:cNvPr>
        <xdr:cNvSpPr txBox="1"/>
      </xdr:nvSpPr>
      <xdr:spPr>
        <a:xfrm>
          <a:off x="3327400" y="838200"/>
          <a:ext cx="3838575" cy="996949"/>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1. Right click anywhere in the table and select "Refresh" to update required work orders. </a:t>
          </a:r>
        </a:p>
        <a:p>
          <a:r>
            <a:rPr lang="en-US" sz="1100" i="1" baseline="0"/>
            <a:t>2. Select and Copy the "WORK ORDER" Column and paste task codes in the task code column in 5.SCHEDULE and 6.BUDGET</a:t>
          </a:r>
        </a:p>
      </xdr:txBody>
    </xdr:sp>
    <xdr:clientData/>
  </xdr:twoCellAnchor>
  <xdr:twoCellAnchor>
    <xdr:from>
      <xdr:col>3</xdr:col>
      <xdr:colOff>0</xdr:colOff>
      <xdr:row>0</xdr:row>
      <xdr:rowOff>101600</xdr:rowOff>
    </xdr:from>
    <xdr:to>
      <xdr:col>3</xdr:col>
      <xdr:colOff>3838575</xdr:colOff>
      <xdr:row>4</xdr:row>
      <xdr:rowOff>6350</xdr:rowOff>
    </xdr:to>
    <xdr:sp macro="" textlink="">
      <xdr:nvSpPr>
        <xdr:cNvPr id="6" name="TextBox 5">
          <a:extLst>
            <a:ext uri="{FF2B5EF4-FFF2-40B4-BE49-F238E27FC236}">
              <a16:creationId xmlns:a16="http://schemas.microsoft.com/office/drawing/2014/main" id="{0E9E07B5-DF8D-4903-8C7A-5EB3614909FC}"/>
            </a:ext>
          </a:extLst>
        </xdr:cNvPr>
        <xdr:cNvSpPr txBox="1"/>
      </xdr:nvSpPr>
      <xdr:spPr>
        <a:xfrm>
          <a:off x="3327400" y="101600"/>
          <a:ext cx="3838575" cy="66675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Notes:</a:t>
          </a:r>
        </a:p>
        <a:p>
          <a:r>
            <a:rPr lang="en-US" sz="1100" i="1" baseline="0"/>
            <a:t>This table generates a list of suggested work orders for the infrastructure components identified in the asset inventory.</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57</xdr:col>
      <xdr:colOff>216694</xdr:colOff>
      <xdr:row>9</xdr:row>
      <xdr:rowOff>23812</xdr:rowOff>
    </xdr:from>
    <xdr:to>
      <xdr:col>62</xdr:col>
      <xdr:colOff>979647</xdr:colOff>
      <xdr:row>13</xdr:row>
      <xdr:rowOff>952</xdr:rowOff>
    </xdr:to>
    <xdr:pic>
      <xdr:nvPicPr>
        <xdr:cNvPr id="2" name="Picture 1">
          <a:extLst>
            <a:ext uri="{FF2B5EF4-FFF2-40B4-BE49-F238E27FC236}">
              <a16:creationId xmlns:a16="http://schemas.microsoft.com/office/drawing/2014/main" id="{33636A8C-DD70-4E93-9990-E4F1692A69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1257" y="1571625"/>
          <a:ext cx="2489359" cy="739140"/>
        </a:xfrm>
        <a:prstGeom prst="rect">
          <a:avLst/>
        </a:prstGeom>
      </xdr:spPr>
    </xdr:pic>
    <xdr:clientData/>
  </xdr:twoCellAnchor>
  <xdr:twoCellAnchor>
    <xdr:from>
      <xdr:col>3</xdr:col>
      <xdr:colOff>190499</xdr:colOff>
      <xdr:row>1</xdr:row>
      <xdr:rowOff>66675</xdr:rowOff>
    </xdr:from>
    <xdr:to>
      <xdr:col>8</xdr:col>
      <xdr:colOff>428624</xdr:colOff>
      <xdr:row>5</xdr:row>
      <xdr:rowOff>171450</xdr:rowOff>
    </xdr:to>
    <xdr:sp macro="" textlink="">
      <xdr:nvSpPr>
        <xdr:cNvPr id="5" name="TextBox 4">
          <a:extLst>
            <a:ext uri="{FF2B5EF4-FFF2-40B4-BE49-F238E27FC236}">
              <a16:creationId xmlns:a16="http://schemas.microsoft.com/office/drawing/2014/main" id="{5F3ED90F-A728-4D43-94C7-FB1380E1F8DE}"/>
            </a:ext>
          </a:extLst>
        </xdr:cNvPr>
        <xdr:cNvSpPr txBox="1"/>
      </xdr:nvSpPr>
      <xdr:spPr>
        <a:xfrm>
          <a:off x="2495549" y="257175"/>
          <a:ext cx="5895975" cy="87630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pPr marL="0" marR="0" lvl="0" indent="0" defTabSz="914400" eaLnBrk="1" fontAlgn="auto" latinLnBrk="0" hangingPunct="1">
            <a:lnSpc>
              <a:spcPct val="100000"/>
            </a:lnSpc>
            <a:spcBef>
              <a:spcPts val="0"/>
            </a:spcBef>
            <a:spcAft>
              <a:spcPts val="0"/>
            </a:spcAft>
            <a:buClrTx/>
            <a:buSzTx/>
            <a:buFontTx/>
            <a:buNone/>
            <a:tabLst/>
            <a:defRPr/>
          </a:pPr>
          <a:r>
            <a:rPr lang="en-US" sz="1100" i="1" baseline="0"/>
            <a:t>1. </a:t>
          </a:r>
          <a:r>
            <a:rPr lang="en-US" sz="1100" i="1" baseline="0">
              <a:solidFill>
                <a:schemeClr val="dk1"/>
              </a:solidFill>
              <a:effectLst/>
              <a:latin typeface="+mn-lt"/>
              <a:ea typeface="+mn-ea"/>
              <a:cs typeface="+mn-cs"/>
            </a:rPr>
            <a:t>Paste required work order Task Code(s) in the "Task Code" column. </a:t>
          </a:r>
          <a:endParaRPr lang="en-US" sz="1100" i="1" baseline="0"/>
        </a:p>
        <a:p>
          <a:r>
            <a:rPr lang="en-US" sz="1100" i="1" baseline="0"/>
            <a:t>2. Distribute "Crew Hours Per Year" through the Annual Calendar.  Use the "CHECK" column on the far right to ensure the appropriate number of hours have been distributed.  </a:t>
          </a:r>
        </a:p>
      </xdr:txBody>
    </xdr:sp>
    <xdr:clientData/>
  </xdr:twoCellAnchor>
  <xdr:twoCellAnchor>
    <xdr:from>
      <xdr:col>3</xdr:col>
      <xdr:colOff>190499</xdr:colOff>
      <xdr:row>6</xdr:row>
      <xdr:rowOff>104776</xdr:rowOff>
    </xdr:from>
    <xdr:to>
      <xdr:col>8</xdr:col>
      <xdr:colOff>428624</xdr:colOff>
      <xdr:row>10</xdr:row>
      <xdr:rowOff>83344</xdr:rowOff>
    </xdr:to>
    <xdr:sp macro="" textlink="">
      <xdr:nvSpPr>
        <xdr:cNvPr id="6" name="TextBox 5">
          <a:extLst>
            <a:ext uri="{FF2B5EF4-FFF2-40B4-BE49-F238E27FC236}">
              <a16:creationId xmlns:a16="http://schemas.microsoft.com/office/drawing/2014/main" id="{06E149D6-D11B-4347-B0FF-120CD2667C87}"/>
            </a:ext>
          </a:extLst>
        </xdr:cNvPr>
        <xdr:cNvSpPr txBox="1"/>
      </xdr:nvSpPr>
      <xdr:spPr>
        <a:xfrm>
          <a:off x="2488405" y="1271589"/>
          <a:ext cx="6036469" cy="740568"/>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Notes and Assumptions:</a:t>
          </a:r>
        </a:p>
        <a:p>
          <a:r>
            <a:rPr lang="en-US" sz="1100" i="1"/>
            <a:t>This Schedule</a:t>
          </a:r>
          <a:r>
            <a:rPr lang="en-US" sz="1100" i="1" baseline="0"/>
            <a:t> calculates the total number of hours based on quantity of each system component inventoried, as noted in the </a:t>
          </a:r>
          <a:r>
            <a:rPr lang="en-US" sz="1100" b="1" i="1" baseline="0"/>
            <a:t>"Community Infrastructure Summary" </a:t>
          </a:r>
          <a:r>
            <a:rPr lang="en-US" sz="1100" i="1" baseline="0"/>
            <a:t>on the Table of Contents.  </a:t>
          </a:r>
        </a:p>
      </xdr:txBody>
    </xdr:sp>
    <xdr:clientData/>
  </xdr:twoCellAnchor>
  <xdr:twoCellAnchor editAs="absolute">
    <xdr:from>
      <xdr:col>11</xdr:col>
      <xdr:colOff>24605</xdr:colOff>
      <xdr:row>1</xdr:row>
      <xdr:rowOff>42862</xdr:rowOff>
    </xdr:from>
    <xdr:to>
      <xdr:col>16</xdr:col>
      <xdr:colOff>96837</xdr:colOff>
      <xdr:row>5</xdr:row>
      <xdr:rowOff>182562</xdr:rowOff>
    </xdr:to>
    <mc:AlternateContent xmlns:mc="http://schemas.openxmlformats.org/markup-compatibility/2006" xmlns:sle15="http://schemas.microsoft.com/office/drawing/2012/slicer">
      <mc:Choice Requires="sle15">
        <xdr:graphicFrame macro="">
          <xdr:nvGraphicFramePr>
            <xdr:cNvPr id="3" name="ASSET GROUP 2">
              <a:extLst>
                <a:ext uri="{FF2B5EF4-FFF2-40B4-BE49-F238E27FC236}">
                  <a16:creationId xmlns:a16="http://schemas.microsoft.com/office/drawing/2014/main" id="{5AEC16D0-9B60-44B5-AA2E-3B68DB17E500}"/>
                </a:ext>
              </a:extLst>
            </xdr:cNvPr>
            <xdr:cNvGraphicFramePr/>
          </xdr:nvGraphicFramePr>
          <xdr:xfrm>
            <a:off x="0" y="0"/>
            <a:ext cx="0" cy="0"/>
          </xdr:xfrm>
          <a:graphic>
            <a:graphicData uri="http://schemas.microsoft.com/office/drawing/2010/slicer">
              <sle:slicer xmlns:sle="http://schemas.microsoft.com/office/drawing/2010/slicer" name="ASSET GROUP 2"/>
            </a:graphicData>
          </a:graphic>
        </xdr:graphicFrame>
      </mc:Choice>
      <mc:Fallback xmlns="">
        <xdr:sp macro="" textlink="">
          <xdr:nvSpPr>
            <xdr:cNvPr id="0" name=""/>
            <xdr:cNvSpPr>
              <a:spLocks noTextEdit="1"/>
            </xdr:cNvSpPr>
          </xdr:nvSpPr>
          <xdr:spPr>
            <a:xfrm>
              <a:off x="9016999" y="233362"/>
              <a:ext cx="1739107" cy="92551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65</xdr:col>
      <xdr:colOff>336550</xdr:colOff>
      <xdr:row>18</xdr:row>
      <xdr:rowOff>7141</xdr:rowOff>
    </xdr:from>
    <xdr:to>
      <xdr:col>69</xdr:col>
      <xdr:colOff>432593</xdr:colOff>
      <xdr:row>28</xdr:row>
      <xdr:rowOff>130174</xdr:rowOff>
    </xdr:to>
    <mc:AlternateContent xmlns:mc="http://schemas.openxmlformats.org/markup-compatibility/2006" xmlns:sle15="http://schemas.microsoft.com/office/drawing/2012/slicer">
      <mc:Choice Requires="sle15">
        <xdr:graphicFrame macro="">
          <xdr:nvGraphicFramePr>
            <xdr:cNvPr id="7" name="Frequency">
              <a:extLst>
                <a:ext uri="{FF2B5EF4-FFF2-40B4-BE49-F238E27FC236}">
                  <a16:creationId xmlns:a16="http://schemas.microsoft.com/office/drawing/2014/main" id="{94EC163B-C6C9-40E2-B84E-4AD33073A984}"/>
                </a:ext>
              </a:extLst>
            </xdr:cNvPr>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mlns="">
        <xdr:sp macro="" textlink="">
          <xdr:nvSpPr>
            <xdr:cNvPr id="0" name=""/>
            <xdr:cNvSpPr>
              <a:spLocks noTextEdit="1"/>
            </xdr:cNvSpPr>
          </xdr:nvSpPr>
          <xdr:spPr>
            <a:xfrm>
              <a:off x="29132213" y="3519485"/>
              <a:ext cx="2524918" cy="20399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xdr:col>
      <xdr:colOff>50800</xdr:colOff>
      <xdr:row>1</xdr:row>
      <xdr:rowOff>152400</xdr:rowOff>
    </xdr:from>
    <xdr:to>
      <xdr:col>2</xdr:col>
      <xdr:colOff>800100</xdr:colOff>
      <xdr:row>9</xdr:row>
      <xdr:rowOff>76200</xdr:rowOff>
    </xdr:to>
    <xdr:sp macro="" textlink="">
      <xdr:nvSpPr>
        <xdr:cNvPr id="4" name="TextBox 3">
          <a:extLst>
            <a:ext uri="{FF2B5EF4-FFF2-40B4-BE49-F238E27FC236}">
              <a16:creationId xmlns:a16="http://schemas.microsoft.com/office/drawing/2014/main" id="{EB4691EC-7159-8860-71B9-11EEA9896A02}"/>
            </a:ext>
          </a:extLst>
        </xdr:cNvPr>
        <xdr:cNvSpPr txBox="1"/>
      </xdr:nvSpPr>
      <xdr:spPr>
        <a:xfrm>
          <a:off x="660400" y="342900"/>
          <a:ext cx="1549400" cy="147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t>NATION LOGO</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47625</xdr:colOff>
      <xdr:row>13</xdr:row>
      <xdr:rowOff>76200</xdr:rowOff>
    </xdr:from>
    <xdr:to>
      <xdr:col>14</xdr:col>
      <xdr:colOff>866775</xdr:colOff>
      <xdr:row>16</xdr:row>
      <xdr:rowOff>120015</xdr:rowOff>
    </xdr:to>
    <xdr:pic>
      <xdr:nvPicPr>
        <xdr:cNvPr id="2" name="Picture 1">
          <a:extLst>
            <a:ext uri="{FF2B5EF4-FFF2-40B4-BE49-F238E27FC236}">
              <a16:creationId xmlns:a16="http://schemas.microsoft.com/office/drawing/2014/main" id="{ED553A43-6E81-47D2-9428-2FF8BAAFE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82625" y="2667000"/>
          <a:ext cx="2114550" cy="634365"/>
        </a:xfrm>
        <a:prstGeom prst="rect">
          <a:avLst/>
        </a:prstGeom>
      </xdr:spPr>
    </xdr:pic>
    <xdr:clientData/>
  </xdr:twoCellAnchor>
  <xdr:twoCellAnchor>
    <xdr:from>
      <xdr:col>3</xdr:col>
      <xdr:colOff>219075</xdr:colOff>
      <xdr:row>6</xdr:row>
      <xdr:rowOff>104776</xdr:rowOff>
    </xdr:from>
    <xdr:to>
      <xdr:col>4</xdr:col>
      <xdr:colOff>3314700</xdr:colOff>
      <xdr:row>10</xdr:row>
      <xdr:rowOff>123826</xdr:rowOff>
    </xdr:to>
    <xdr:sp macro="" textlink="">
      <xdr:nvSpPr>
        <xdr:cNvPr id="4" name="TextBox 3">
          <a:extLst>
            <a:ext uri="{FF2B5EF4-FFF2-40B4-BE49-F238E27FC236}">
              <a16:creationId xmlns:a16="http://schemas.microsoft.com/office/drawing/2014/main" id="{89A81763-F879-4F76-B1F1-87D0D80C881D}"/>
            </a:ext>
          </a:extLst>
        </xdr:cNvPr>
        <xdr:cNvSpPr txBox="1"/>
      </xdr:nvSpPr>
      <xdr:spPr>
        <a:xfrm>
          <a:off x="2428875" y="1285876"/>
          <a:ext cx="4629150" cy="81915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Notes and Assumptions:</a:t>
          </a:r>
        </a:p>
        <a:p>
          <a:r>
            <a:rPr lang="en-US" sz="1100" i="1"/>
            <a:t>This Budget</a:t>
          </a:r>
          <a:r>
            <a:rPr lang="en-US" sz="1100" i="1" baseline="0"/>
            <a:t> calculates the total annual cost based on quantity of each system component inventoried, as noted in the </a:t>
          </a:r>
          <a:r>
            <a:rPr lang="en-US" sz="1100" b="1" i="1" baseline="0"/>
            <a:t>"Community Infrastructure Summary" </a:t>
          </a:r>
          <a:r>
            <a:rPr lang="en-US" sz="1100" i="1" baseline="0"/>
            <a:t>on the Table of Contents.  </a:t>
          </a:r>
        </a:p>
      </xdr:txBody>
    </xdr:sp>
    <xdr:clientData/>
  </xdr:twoCellAnchor>
  <xdr:twoCellAnchor>
    <xdr:from>
      <xdr:col>3</xdr:col>
      <xdr:colOff>228600</xdr:colOff>
      <xdr:row>2</xdr:row>
      <xdr:rowOff>85725</xdr:rowOff>
    </xdr:from>
    <xdr:to>
      <xdr:col>4</xdr:col>
      <xdr:colOff>3324225</xdr:colOff>
      <xdr:row>5</xdr:row>
      <xdr:rowOff>152400</xdr:rowOff>
    </xdr:to>
    <xdr:sp macro="" textlink="">
      <xdr:nvSpPr>
        <xdr:cNvPr id="6" name="TextBox 5">
          <a:extLst>
            <a:ext uri="{FF2B5EF4-FFF2-40B4-BE49-F238E27FC236}">
              <a16:creationId xmlns:a16="http://schemas.microsoft.com/office/drawing/2014/main" id="{BAF7BA82-7EF1-412E-939A-71AAC1AE3528}"/>
            </a:ext>
          </a:extLst>
        </xdr:cNvPr>
        <xdr:cNvSpPr txBox="1"/>
      </xdr:nvSpPr>
      <xdr:spPr>
        <a:xfrm>
          <a:off x="2438400" y="476250"/>
          <a:ext cx="4629150" cy="657225"/>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Enter desired work order(s) in the "Task Code" column.  All remaining columns will populate with information from the "ii. WO Data Masterlist" tab.</a:t>
          </a:r>
        </a:p>
      </xdr:txBody>
    </xdr:sp>
    <xdr:clientData/>
  </xdr:twoCellAnchor>
  <xdr:twoCellAnchor editAs="absolute">
    <xdr:from>
      <xdr:col>9</xdr:col>
      <xdr:colOff>88900</xdr:colOff>
      <xdr:row>3</xdr:row>
      <xdr:rowOff>66676</xdr:rowOff>
    </xdr:from>
    <xdr:to>
      <xdr:col>10</xdr:col>
      <xdr:colOff>1177925</xdr:colOff>
      <xdr:row>13</xdr:row>
      <xdr:rowOff>28575</xdr:rowOff>
    </xdr:to>
    <mc:AlternateContent xmlns:mc="http://schemas.openxmlformats.org/markup-compatibility/2006" xmlns:sle15="http://schemas.microsoft.com/office/drawing/2012/slicer">
      <mc:Choice Requires="sle15">
        <xdr:graphicFrame macro="">
          <xdr:nvGraphicFramePr>
            <xdr:cNvPr id="5" name="Asset Component 1">
              <a:extLst>
                <a:ext uri="{FF2B5EF4-FFF2-40B4-BE49-F238E27FC236}">
                  <a16:creationId xmlns:a16="http://schemas.microsoft.com/office/drawing/2014/main" id="{46B738D4-ADE3-4E6A-A4C5-2BAFD36AE32D}"/>
                </a:ext>
              </a:extLst>
            </xdr:cNvPr>
            <xdr:cNvGraphicFramePr/>
          </xdr:nvGraphicFramePr>
          <xdr:xfrm>
            <a:off x="0" y="0"/>
            <a:ext cx="0" cy="0"/>
          </xdr:xfrm>
          <a:graphic>
            <a:graphicData uri="http://schemas.microsoft.com/office/drawing/2010/slicer">
              <sle:slicer xmlns:sle="http://schemas.microsoft.com/office/drawing/2010/slicer" name="Asset Component 1"/>
            </a:graphicData>
          </a:graphic>
        </xdr:graphicFrame>
      </mc:Choice>
      <mc:Fallback xmlns="">
        <xdr:sp macro="" textlink="">
          <xdr:nvSpPr>
            <xdr:cNvPr id="0" name=""/>
            <xdr:cNvSpPr>
              <a:spLocks noTextEdit="1"/>
            </xdr:cNvSpPr>
          </xdr:nvSpPr>
          <xdr:spPr>
            <a:xfrm>
              <a:off x="9267825" y="647701"/>
              <a:ext cx="1828800" cy="197167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3911599</xdr:colOff>
      <xdr:row>3</xdr:row>
      <xdr:rowOff>66675</xdr:rowOff>
    </xdr:from>
    <xdr:to>
      <xdr:col>9</xdr:col>
      <xdr:colOff>50799</xdr:colOff>
      <xdr:row>8</xdr:row>
      <xdr:rowOff>85725</xdr:rowOff>
    </xdr:to>
    <mc:AlternateContent xmlns:mc="http://schemas.openxmlformats.org/markup-compatibility/2006" xmlns:sle15="http://schemas.microsoft.com/office/drawing/2012/slicer">
      <mc:Choice Requires="sle15">
        <xdr:graphicFrame macro="">
          <xdr:nvGraphicFramePr>
            <xdr:cNvPr id="7" name="Asset Group 1">
              <a:extLst>
                <a:ext uri="{FF2B5EF4-FFF2-40B4-BE49-F238E27FC236}">
                  <a16:creationId xmlns:a16="http://schemas.microsoft.com/office/drawing/2014/main" id="{2988CDF0-E904-4BBD-A1BC-D25ED578EE41}"/>
                </a:ext>
              </a:extLst>
            </xdr:cNvPr>
            <xdr:cNvGraphicFramePr/>
          </xdr:nvGraphicFramePr>
          <xdr:xfrm>
            <a:off x="0" y="0"/>
            <a:ext cx="0" cy="0"/>
          </xdr:xfrm>
          <a:graphic>
            <a:graphicData uri="http://schemas.microsoft.com/office/drawing/2010/slicer">
              <sle:slicer xmlns:sle="http://schemas.microsoft.com/office/drawing/2010/slicer" name="Asset Group 1"/>
            </a:graphicData>
          </a:graphic>
        </xdr:graphicFrame>
      </mc:Choice>
      <mc:Fallback xmlns="">
        <xdr:sp macro="" textlink="">
          <xdr:nvSpPr>
            <xdr:cNvPr id="0" name=""/>
            <xdr:cNvSpPr>
              <a:spLocks noTextEdit="1"/>
            </xdr:cNvSpPr>
          </xdr:nvSpPr>
          <xdr:spPr>
            <a:xfrm>
              <a:off x="7400924" y="647700"/>
              <a:ext cx="1828800" cy="10191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xdr:col>
      <xdr:colOff>25400</xdr:colOff>
      <xdr:row>2</xdr:row>
      <xdr:rowOff>38100</xdr:rowOff>
    </xdr:from>
    <xdr:to>
      <xdr:col>2</xdr:col>
      <xdr:colOff>774700</xdr:colOff>
      <xdr:row>9</xdr:row>
      <xdr:rowOff>101600</xdr:rowOff>
    </xdr:to>
    <xdr:sp macro="" textlink="">
      <xdr:nvSpPr>
        <xdr:cNvPr id="8" name="TextBox 7">
          <a:extLst>
            <a:ext uri="{FF2B5EF4-FFF2-40B4-BE49-F238E27FC236}">
              <a16:creationId xmlns:a16="http://schemas.microsoft.com/office/drawing/2014/main" id="{0E156AAE-198D-4B09-991F-51E8B760E0C9}"/>
            </a:ext>
          </a:extLst>
        </xdr:cNvPr>
        <xdr:cNvSpPr txBox="1"/>
      </xdr:nvSpPr>
      <xdr:spPr>
        <a:xfrm>
          <a:off x="635000" y="431800"/>
          <a:ext cx="1549400" cy="147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t>NATION LOGO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84667</xdr:colOff>
      <xdr:row>0</xdr:row>
      <xdr:rowOff>109009</xdr:rowOff>
    </xdr:from>
    <xdr:to>
      <xdr:col>1</xdr:col>
      <xdr:colOff>1414357</xdr:colOff>
      <xdr:row>4</xdr:row>
      <xdr:rowOff>71968</xdr:rowOff>
    </xdr:to>
    <xdr:pic>
      <xdr:nvPicPr>
        <xdr:cNvPr id="2" name="Picture 1">
          <a:extLst>
            <a:ext uri="{FF2B5EF4-FFF2-40B4-BE49-F238E27FC236}">
              <a16:creationId xmlns:a16="http://schemas.microsoft.com/office/drawing/2014/main" id="{0EE6E0E8-390E-4E52-B3A8-1B6F86D1E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67" y="109009"/>
          <a:ext cx="2476500" cy="733637"/>
        </a:xfrm>
        <a:prstGeom prst="rect">
          <a:avLst/>
        </a:prstGeom>
      </xdr:spPr>
    </xdr:pic>
    <xdr:clientData/>
  </xdr:twoCellAnchor>
  <xdr:twoCellAnchor editAs="oneCell">
    <xdr:from>
      <xdr:col>22</xdr:col>
      <xdr:colOff>0</xdr:colOff>
      <xdr:row>53</xdr:row>
      <xdr:rowOff>0</xdr:rowOff>
    </xdr:from>
    <xdr:to>
      <xdr:col>33</xdr:col>
      <xdr:colOff>296308</xdr:colOff>
      <xdr:row>64</xdr:row>
      <xdr:rowOff>106406</xdr:rowOff>
    </xdr:to>
    <xdr:pic>
      <xdr:nvPicPr>
        <xdr:cNvPr id="3" name="Picture 2">
          <a:extLst>
            <a:ext uri="{FF2B5EF4-FFF2-40B4-BE49-F238E27FC236}">
              <a16:creationId xmlns:a16="http://schemas.microsoft.com/office/drawing/2014/main" id="{18C13964-8D27-4F69-9416-91F9D691572A}"/>
            </a:ext>
          </a:extLst>
        </xdr:cNvPr>
        <xdr:cNvPicPr>
          <a:picLocks noChangeAspect="1"/>
        </xdr:cNvPicPr>
      </xdr:nvPicPr>
      <xdr:blipFill>
        <a:blip xmlns:r="http://schemas.openxmlformats.org/officeDocument/2006/relationships" r:embed="rId2"/>
        <a:stretch>
          <a:fillRect/>
        </a:stretch>
      </xdr:blipFill>
      <xdr:spPr>
        <a:xfrm>
          <a:off x="21202650" y="2676525"/>
          <a:ext cx="6980952" cy="2190476"/>
        </a:xfrm>
        <a:prstGeom prst="rect">
          <a:avLst/>
        </a:prstGeom>
      </xdr:spPr>
    </xdr:pic>
    <xdr:clientData/>
  </xdr:twoCellAnchor>
  <xdr:twoCellAnchor editAs="absolute">
    <xdr:from>
      <xdr:col>7</xdr:col>
      <xdr:colOff>448731</xdr:colOff>
      <xdr:row>0</xdr:row>
      <xdr:rowOff>130386</xdr:rowOff>
    </xdr:from>
    <xdr:to>
      <xdr:col>10</xdr:col>
      <xdr:colOff>360257</xdr:colOff>
      <xdr:row>13</xdr:row>
      <xdr:rowOff>88900</xdr:rowOff>
    </xdr:to>
    <mc:AlternateContent xmlns:mc="http://schemas.openxmlformats.org/markup-compatibility/2006" xmlns:sle15="http://schemas.microsoft.com/office/drawing/2012/slicer">
      <mc:Choice Requires="sle15">
        <xdr:graphicFrame macro="">
          <xdr:nvGraphicFramePr>
            <xdr:cNvPr id="6" name="ASSET COMPONENT">
              <a:extLst>
                <a:ext uri="{FF2B5EF4-FFF2-40B4-BE49-F238E27FC236}">
                  <a16:creationId xmlns:a16="http://schemas.microsoft.com/office/drawing/2014/main" id="{A5D62E8F-4FF8-4402-954B-DD1D33EE8555}"/>
                </a:ext>
              </a:extLst>
            </xdr:cNvPr>
            <xdr:cNvGraphicFramePr/>
          </xdr:nvGraphicFramePr>
          <xdr:xfrm>
            <a:off x="0" y="0"/>
            <a:ext cx="0" cy="0"/>
          </xdr:xfrm>
          <a:graphic>
            <a:graphicData uri="http://schemas.microsoft.com/office/drawing/2010/slicer">
              <sle:slicer xmlns:sle="http://schemas.microsoft.com/office/drawing/2010/slicer" name="ASSET COMPONENT"/>
            </a:graphicData>
          </a:graphic>
        </xdr:graphicFrame>
      </mc:Choice>
      <mc:Fallback xmlns="">
        <xdr:sp macro="" textlink="">
          <xdr:nvSpPr>
            <xdr:cNvPr id="0" name=""/>
            <xdr:cNvSpPr>
              <a:spLocks noTextEdit="1"/>
            </xdr:cNvSpPr>
          </xdr:nvSpPr>
          <xdr:spPr>
            <a:xfrm>
              <a:off x="12031131" y="130386"/>
              <a:ext cx="3391326" cy="22415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719456</xdr:colOff>
      <xdr:row>0</xdr:row>
      <xdr:rowOff>130387</xdr:rowOff>
    </xdr:from>
    <xdr:to>
      <xdr:col>7</xdr:col>
      <xdr:colOff>251883</xdr:colOff>
      <xdr:row>12</xdr:row>
      <xdr:rowOff>53764</xdr:rowOff>
    </xdr:to>
    <mc:AlternateContent xmlns:mc="http://schemas.openxmlformats.org/markup-compatibility/2006" xmlns:sle15="http://schemas.microsoft.com/office/drawing/2012/slicer">
      <mc:Choice Requires="sle15">
        <xdr:graphicFrame macro="">
          <xdr:nvGraphicFramePr>
            <xdr:cNvPr id="7" name="ASSET GROUP">
              <a:extLst>
                <a:ext uri="{FF2B5EF4-FFF2-40B4-BE49-F238E27FC236}">
                  <a16:creationId xmlns:a16="http://schemas.microsoft.com/office/drawing/2014/main" id="{D7CFF8EF-B67E-4BE6-9ECE-70577A9C25B8}"/>
                </a:ext>
              </a:extLst>
            </xdr:cNvPr>
            <xdr:cNvGraphicFramePr/>
          </xdr:nvGraphicFramePr>
          <xdr:xfrm>
            <a:off x="0" y="0"/>
            <a:ext cx="0" cy="0"/>
          </xdr:xfrm>
          <a:graphic>
            <a:graphicData uri="http://schemas.microsoft.com/office/drawing/2010/slicer">
              <sle:slicer xmlns:sle="http://schemas.microsoft.com/office/drawing/2010/slicer" name="ASSET GROUP"/>
            </a:graphicData>
          </a:graphic>
        </xdr:graphicFrame>
      </mc:Choice>
      <mc:Fallback xmlns="">
        <xdr:sp macro="" textlink="">
          <xdr:nvSpPr>
            <xdr:cNvPr id="0" name=""/>
            <xdr:cNvSpPr>
              <a:spLocks noTextEdit="1"/>
            </xdr:cNvSpPr>
          </xdr:nvSpPr>
          <xdr:spPr>
            <a:xfrm>
              <a:off x="9965056" y="130387"/>
              <a:ext cx="1869227" cy="22347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2</xdr:col>
      <xdr:colOff>317500</xdr:colOff>
      <xdr:row>3</xdr:row>
      <xdr:rowOff>88900</xdr:rowOff>
    </xdr:from>
    <xdr:to>
      <xdr:col>4</xdr:col>
      <xdr:colOff>2715683</xdr:colOff>
      <xdr:row>14</xdr:row>
      <xdr:rowOff>152400</xdr:rowOff>
    </xdr:to>
    <xdr:sp macro="" textlink="">
      <xdr:nvSpPr>
        <xdr:cNvPr id="8" name="TextBox 7">
          <a:extLst>
            <a:ext uri="{FF2B5EF4-FFF2-40B4-BE49-F238E27FC236}">
              <a16:creationId xmlns:a16="http://schemas.microsoft.com/office/drawing/2014/main" id="{277AC551-4833-4807-9639-3E11250D9EF1}"/>
            </a:ext>
          </a:extLst>
        </xdr:cNvPr>
        <xdr:cNvSpPr txBox="1"/>
      </xdr:nvSpPr>
      <xdr:spPr>
        <a:xfrm>
          <a:off x="2895600" y="673100"/>
          <a:ext cx="5496983" cy="218440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Notes:</a:t>
          </a:r>
        </a:p>
        <a:p>
          <a:r>
            <a:rPr lang="en-US" sz="1100" i="1">
              <a:solidFill>
                <a:schemeClr val="dk1"/>
              </a:solidFill>
              <a:effectLst/>
              <a:latin typeface="+mn-lt"/>
              <a:ea typeface="+mn-ea"/>
              <a:cs typeface="+mn-cs"/>
            </a:rPr>
            <a:t>This table breaks down frequency</a:t>
          </a:r>
          <a:r>
            <a:rPr lang="en-US" sz="1100" i="1" baseline="0">
              <a:solidFill>
                <a:schemeClr val="dk1"/>
              </a:solidFill>
              <a:effectLst/>
              <a:latin typeface="+mn-lt"/>
              <a:ea typeface="+mn-ea"/>
              <a:cs typeface="+mn-cs"/>
            </a:rPr>
            <a:t> and effort for all work orders, and calculates annual cost to implement the associated work order.  This table is used to populate the BUDGET and SCHEDULE tabs, and the Annual Maintenance Budget Summary page.</a:t>
          </a:r>
        </a:p>
        <a:p>
          <a:endParaRPr lang="en-US">
            <a:effectLst/>
          </a:endParaRPr>
        </a:p>
        <a:p>
          <a:r>
            <a:rPr lang="en-US" sz="1100" b="1" i="1" baseline="0">
              <a:solidFill>
                <a:srgbClr val="FF0000"/>
              </a:solidFill>
              <a:effectLst/>
              <a:latin typeface="+mn-lt"/>
              <a:ea typeface="+mn-ea"/>
              <a:cs typeface="+mn-cs"/>
            </a:rPr>
            <a:t>NOTE: </a:t>
          </a:r>
          <a:endParaRPr lang="en-US">
            <a:solidFill>
              <a:srgbClr val="FF0000"/>
            </a:solidFill>
            <a:effectLst/>
          </a:endParaRPr>
        </a:p>
        <a:p>
          <a:r>
            <a:rPr lang="en-US" sz="1100" b="1" i="1" baseline="0">
              <a:solidFill>
                <a:srgbClr val="FF0000"/>
              </a:solidFill>
              <a:effectLst/>
              <a:latin typeface="+mn-lt"/>
              <a:ea typeface="+mn-ea"/>
              <a:cs typeface="+mn-cs"/>
            </a:rPr>
            <a:t>This table is a intended as a data bank and does not require user input.  However, should communities wish to adjust task frequency, operator hours, or equipment/parts/materials costs, Columns 6 through 13 can be edited to reflect community spicific knowledge of work tasks.  </a:t>
          </a:r>
        </a:p>
        <a:p>
          <a:r>
            <a:rPr lang="en-US" sz="1100" b="1" i="1" baseline="0">
              <a:solidFill>
                <a:srgbClr val="FF0000"/>
              </a:solidFill>
              <a:effectLst/>
              <a:latin typeface="+mn-lt"/>
              <a:ea typeface="+mn-ea"/>
              <a:cs typeface="+mn-cs"/>
            </a:rPr>
            <a:t>New work orders can be added to this table by simply entering new work order information below last table row.  </a:t>
          </a:r>
          <a:endParaRPr lang="en-US" sz="1100" i="1" baseline="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95251</xdr:colOff>
      <xdr:row>0</xdr:row>
      <xdr:rowOff>66676</xdr:rowOff>
    </xdr:from>
    <xdr:to>
      <xdr:col>1</xdr:col>
      <xdr:colOff>1695451</xdr:colOff>
      <xdr:row>4</xdr:row>
      <xdr:rowOff>38101</xdr:rowOff>
    </xdr:to>
    <xdr:pic>
      <xdr:nvPicPr>
        <xdr:cNvPr id="3" name="Picture 2">
          <a:extLst>
            <a:ext uri="{FF2B5EF4-FFF2-40B4-BE49-F238E27FC236}">
              <a16:creationId xmlns:a16="http://schemas.microsoft.com/office/drawing/2014/main" id="{C645940C-E2C6-4C3A-8A6A-AB6A94C941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66676"/>
          <a:ext cx="2476500" cy="742950"/>
        </a:xfrm>
        <a:prstGeom prst="rect">
          <a:avLst/>
        </a:prstGeom>
      </xdr:spPr>
    </xdr:pic>
    <xdr:clientData/>
  </xdr:twoCellAnchor>
  <xdr:twoCellAnchor>
    <xdr:from>
      <xdr:col>0</xdr:col>
      <xdr:colOff>190500</xdr:colOff>
      <xdr:row>6</xdr:row>
      <xdr:rowOff>152400</xdr:rowOff>
    </xdr:from>
    <xdr:to>
      <xdr:col>2</xdr:col>
      <xdr:colOff>1993900</xdr:colOff>
      <xdr:row>15</xdr:row>
      <xdr:rowOff>0</xdr:rowOff>
    </xdr:to>
    <xdr:sp macro="" textlink="">
      <xdr:nvSpPr>
        <xdr:cNvPr id="7" name="TextBox 6">
          <a:extLst>
            <a:ext uri="{FF2B5EF4-FFF2-40B4-BE49-F238E27FC236}">
              <a16:creationId xmlns:a16="http://schemas.microsoft.com/office/drawing/2014/main" id="{5E05D57F-26E6-4279-86B2-80413954B5A0}"/>
            </a:ext>
          </a:extLst>
        </xdr:cNvPr>
        <xdr:cNvSpPr txBox="1"/>
      </xdr:nvSpPr>
      <xdr:spPr>
        <a:xfrm>
          <a:off x="190500" y="1320800"/>
          <a:ext cx="5778500" cy="166370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Notes:</a:t>
          </a:r>
        </a:p>
        <a:p>
          <a:r>
            <a:rPr lang="en-US" sz="1100" i="1">
              <a:solidFill>
                <a:schemeClr val="dk1"/>
              </a:solidFill>
              <a:effectLst/>
              <a:latin typeface="+mn-lt"/>
              <a:ea typeface="+mn-ea"/>
              <a:cs typeface="+mn-cs"/>
            </a:rPr>
            <a:t>This table breaks down work orders</a:t>
          </a:r>
          <a:r>
            <a:rPr lang="en-US" sz="1100" i="1" baseline="0">
              <a:solidFill>
                <a:schemeClr val="dk1"/>
              </a:solidFill>
              <a:effectLst/>
              <a:latin typeface="+mn-lt"/>
              <a:ea typeface="+mn-ea"/>
              <a:cs typeface="+mn-cs"/>
            </a:rPr>
            <a:t> for linear infrastructure to determine a per/km annual maintenance rate for water and sanitary infrastructure.</a:t>
          </a:r>
          <a:endParaRPr lang="en-US">
            <a:effectLst/>
          </a:endParaRPr>
        </a:p>
        <a:p>
          <a:endParaRPr lang="en-US">
            <a:effectLst/>
          </a:endParaRPr>
        </a:p>
        <a:p>
          <a:r>
            <a:rPr lang="en-US" sz="1100" b="1" i="1" baseline="0">
              <a:solidFill>
                <a:srgbClr val="FF0000"/>
              </a:solidFill>
              <a:effectLst/>
              <a:latin typeface="+mn-lt"/>
              <a:ea typeface="+mn-ea"/>
              <a:cs typeface="+mn-cs"/>
            </a:rPr>
            <a:t>NOTE: </a:t>
          </a:r>
          <a:endParaRPr lang="en-US">
            <a:solidFill>
              <a:srgbClr val="FF0000"/>
            </a:solidFill>
            <a:effectLst/>
          </a:endParaRPr>
        </a:p>
        <a:p>
          <a:r>
            <a:rPr lang="en-US" sz="1100" b="1" i="1" baseline="0">
              <a:solidFill>
                <a:srgbClr val="FF0000"/>
              </a:solidFill>
              <a:effectLst/>
              <a:latin typeface="+mn-lt"/>
              <a:ea typeface="+mn-ea"/>
              <a:cs typeface="+mn-cs"/>
            </a:rPr>
            <a:t>This table is a intended as a data bank and does not require user input.  However, should communities wish to adjust task frequency, operator hours, or equipment/parts/materials costs, cells highlighted in </a:t>
          </a:r>
          <a:r>
            <a:rPr lang="en-US" sz="1100" b="1" i="1" baseline="0">
              <a:solidFill>
                <a:schemeClr val="accent4">
                  <a:lumMod val="75000"/>
                </a:schemeClr>
              </a:solidFill>
              <a:effectLst/>
              <a:latin typeface="+mn-lt"/>
              <a:ea typeface="+mn-ea"/>
              <a:cs typeface="+mn-cs"/>
            </a:rPr>
            <a:t>ORANGE</a:t>
          </a:r>
          <a:r>
            <a:rPr lang="en-US" sz="1100" b="1" i="1" baseline="0">
              <a:solidFill>
                <a:srgbClr val="FF0000"/>
              </a:solidFill>
              <a:effectLst/>
              <a:latin typeface="+mn-lt"/>
              <a:ea typeface="+mn-ea"/>
              <a:cs typeface="+mn-cs"/>
            </a:rPr>
            <a:t> can be edited to reflect community specific knowledge of work tasks.</a:t>
          </a:r>
          <a:endParaRPr lang="en-US">
            <a:solidFill>
              <a:srgbClr val="FF0000"/>
            </a:solidFill>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689610</xdr:colOff>
      <xdr:row>4</xdr:row>
      <xdr:rowOff>186690</xdr:rowOff>
    </xdr:to>
    <xdr:pic>
      <xdr:nvPicPr>
        <xdr:cNvPr id="2" name="Picture 1">
          <a:extLst>
            <a:ext uri="{FF2B5EF4-FFF2-40B4-BE49-F238E27FC236}">
              <a16:creationId xmlns:a16="http://schemas.microsoft.com/office/drawing/2014/main" id="{A2BAA60C-C168-4DD9-843C-5FFA740E89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2476500" cy="742950"/>
        </a:xfrm>
        <a:prstGeom prst="rect">
          <a:avLst/>
        </a:prstGeom>
      </xdr:spPr>
    </xdr:pic>
    <xdr:clientData/>
  </xdr:twoCellAnchor>
  <xdr:twoCellAnchor>
    <xdr:from>
      <xdr:col>1</xdr:col>
      <xdr:colOff>1831975</xdr:colOff>
      <xdr:row>5</xdr:row>
      <xdr:rowOff>15875</xdr:rowOff>
    </xdr:from>
    <xdr:to>
      <xdr:col>4</xdr:col>
      <xdr:colOff>1250950</xdr:colOff>
      <xdr:row>8</xdr:row>
      <xdr:rowOff>102235</xdr:rowOff>
    </xdr:to>
    <xdr:sp macro="" textlink="">
      <xdr:nvSpPr>
        <xdr:cNvPr id="4" name="TextBox 3">
          <a:extLst>
            <a:ext uri="{FF2B5EF4-FFF2-40B4-BE49-F238E27FC236}">
              <a16:creationId xmlns:a16="http://schemas.microsoft.com/office/drawing/2014/main" id="{6BE8C084-B952-4C6C-A76D-F6BAF3AEC66D}"/>
            </a:ext>
          </a:extLst>
        </xdr:cNvPr>
        <xdr:cNvSpPr txBox="1"/>
      </xdr:nvSpPr>
      <xdr:spPr>
        <a:xfrm>
          <a:off x="3609975" y="968375"/>
          <a:ext cx="3597275" cy="67056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1. Right click anywhere in the table and select "Refresh" to update required work orders. </a:t>
          </a:r>
        </a:p>
      </xdr:txBody>
    </xdr:sp>
    <xdr:clientData/>
  </xdr:twoCellAnchor>
  <xdr:twoCellAnchor>
    <xdr:from>
      <xdr:col>1</xdr:col>
      <xdr:colOff>1828800</xdr:colOff>
      <xdr:row>1</xdr:row>
      <xdr:rowOff>47625</xdr:rowOff>
    </xdr:from>
    <xdr:to>
      <xdr:col>4</xdr:col>
      <xdr:colOff>1247775</xdr:colOff>
      <xdr:row>4</xdr:row>
      <xdr:rowOff>114300</xdr:rowOff>
    </xdr:to>
    <xdr:sp macro="" textlink="">
      <xdr:nvSpPr>
        <xdr:cNvPr id="5" name="TextBox 4">
          <a:extLst>
            <a:ext uri="{FF2B5EF4-FFF2-40B4-BE49-F238E27FC236}">
              <a16:creationId xmlns:a16="http://schemas.microsoft.com/office/drawing/2014/main" id="{3F6348AC-E3AF-4D5B-A629-9D9E5751F42F}"/>
            </a:ext>
          </a:extLst>
        </xdr:cNvPr>
        <xdr:cNvSpPr txBox="1"/>
      </xdr:nvSpPr>
      <xdr:spPr>
        <a:xfrm>
          <a:off x="3606800" y="238125"/>
          <a:ext cx="3597275" cy="638175"/>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Notes:</a:t>
          </a:r>
        </a:p>
        <a:p>
          <a:r>
            <a:rPr lang="en-US" sz="1100" i="1" baseline="0"/>
            <a:t>1. This table summarizes annual maintenance cost by civil component.</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stry Glover" refreshedDate="44705.723108333332" createdVersion="7" refreshedVersion="7" minRefreshableVersion="3" recordCount="78" xr:uid="{DA440CB8-1A79-4DDA-9DF1-0B7888D02652}">
  <cacheSource type="worksheet">
    <worksheetSource name="WO_Data_Masterlist"/>
  </cacheSource>
  <cacheFields count="19">
    <cacheField name="WORK ORDER" numFmtId="0">
      <sharedItems count="80">
        <s v="W01"/>
        <s v="W02"/>
        <s v="W03"/>
        <s v="W04"/>
        <s v="W05"/>
        <s v="W06"/>
        <s v="W07"/>
        <s v="W08"/>
        <s v="W09"/>
        <s v="W10"/>
        <s v="W11"/>
        <s v="W12"/>
        <s v="W14"/>
        <s v="W15"/>
        <s v="WT01"/>
        <s v="WT02"/>
        <s v="WT03"/>
        <s v="WT04"/>
        <s v="WT06"/>
        <s v="WT07"/>
        <s v="WT08"/>
        <s v="WW01"/>
        <s v="WW02"/>
        <s v="WW03"/>
        <s v="WW04"/>
        <s v="BS01"/>
        <s v="BS02"/>
        <s v="BS03"/>
        <s v="WS01"/>
        <s v="WS02"/>
        <s v="WS03"/>
        <s v="WS04"/>
        <s v="WS05"/>
        <s v="S01"/>
        <s v="S02"/>
        <s v="S03"/>
        <s v="S04"/>
        <s v="S05"/>
        <s v="S06"/>
        <s v="S07"/>
        <s v="LS01"/>
        <s v="LS02"/>
        <s v="LS03"/>
        <s v="LS04"/>
        <s v="LS05"/>
        <s v="LS06"/>
        <s v="GEN01"/>
        <s v="GEN02"/>
        <s v="ST01"/>
        <s v="ST02"/>
        <s v="ST03"/>
        <s v="ST04"/>
        <s v="ST05"/>
        <s v="ST06"/>
        <s v="ST07"/>
        <s v="ST08"/>
        <s v="ST09"/>
        <s v="ST10"/>
        <s v="ST11"/>
        <s v="ST12"/>
        <s v="ST13"/>
        <s v="ST14"/>
        <s v="ST15"/>
        <s v="ST16"/>
        <s v="ST17"/>
        <s v="ST18"/>
        <s v="ST19"/>
        <s v="ST20"/>
        <s v="ST21"/>
        <s v="ST22"/>
        <s v="ST23"/>
        <s v="ST24"/>
        <s v="ST25"/>
        <s v="ST26"/>
        <s v="ST27"/>
        <s v="ST28"/>
        <s v="ST29"/>
        <s v="ST30"/>
        <s v="WT05" u="1"/>
        <s v="W13" u="1"/>
      </sharedItems>
    </cacheField>
    <cacheField name="ASSET GROUP" numFmtId="0">
      <sharedItems count="3">
        <s v="WATER"/>
        <s v="SANITARY"/>
        <s v="OTHER"/>
      </sharedItems>
    </cacheField>
    <cacheField name="ASSET SUBGROUP" numFmtId="0">
      <sharedItems count="6">
        <s v="Distribution"/>
        <s v="Supply"/>
        <s v="Treatment"/>
        <s v="Storage"/>
        <s v="Collection"/>
        <s v="Electrical"/>
      </sharedItems>
    </cacheField>
    <cacheField name="ASSET COMPONENT" numFmtId="0">
      <sharedItems count="16">
        <s v="Main"/>
        <s v="Chlorine Disinfection"/>
        <s v="Water Treatment Plant"/>
        <s v="Well"/>
        <s v="Boost Station"/>
        <s v="Reservoir"/>
        <s v="Forcemain"/>
        <s v="Backflow Preventor"/>
        <s v="Air Release Valve"/>
        <s v="Lift Station"/>
        <s v="Backup Generator"/>
        <s v="Lagoon"/>
        <s v="Community Septic Tank"/>
        <s v="Sewage Treatment Plant"/>
        <s v="Sewage Treatment "/>
        <s v="Sewage Treatment"/>
      </sharedItems>
    </cacheField>
    <cacheField name="TASK DESCRIPTION" numFmtId="0">
      <sharedItems count="80">
        <s v="Distribution System Inspection"/>
        <s v="Annual Valve Inspection and Maintenance"/>
        <s v="Watermain Flushing"/>
        <s v="Hydrant Inspection, Maintenance, and Flushing"/>
        <s v="PRV Inspection (Contractor)"/>
        <s v="PRV Inspection"/>
        <s v="Winterizing Water System"/>
        <s v="Watermain Spot Repairs"/>
        <s v="Curb Box and Curb Stop Repairs"/>
        <s v="Fire Hydrant and Standpipe Test"/>
        <s v="Valve Repair"/>
        <s v="Hydrant Repair (General)"/>
        <s v="Hydrant Painting"/>
        <s v="Air Release Valve Inspection and Maintenance"/>
        <s v="Daily Inspection of Chlorine Disinfection Treatment System"/>
        <s v="Quarterly inspection and Maintenance of Chlorine System"/>
        <s v="Annual Inspection and Maintenance of Chlorine System"/>
        <s v="Water Treatment Plant Daily Inspection  "/>
        <s v="Water Treatment Plant Periodic Inspections and Testing"/>
        <s v="Water Treatment Plant Filter Scraping"/>
        <s v="Water Treatment Plant Media Addition"/>
        <s v="Weekly Groundwater Well Inspection"/>
        <s v="Monthly groundwater well inspection and Maintenance"/>
        <s v="Annual groundwater well inspection and Maintenance"/>
        <s v="Periodic (Every 3 years) well assessment"/>
        <s v="Weekly or Daily boost station inspection"/>
        <s v="Monthly booster station inspection and Maintenance"/>
        <s v="Annual Boost Station Inspection and Maintenance "/>
        <s v="Weekly Inspection of Water Storage Facility"/>
        <s v="Monthly Inspection and Maintenance of Storage Facility"/>
        <s v="Quarterly inspection and Maintenance of Storage Facility"/>
        <s v="Annual Inspection and Maintenance of Water Storage Facility"/>
        <s v="Three to Five year inspection and Maintenance of Storage Facility"/>
        <s v="Annual Sanitary Main Inspection"/>
        <s v="Main Flushing and Cleaning"/>
        <s v="CCTV Inspection"/>
        <s v="Vac Truck"/>
        <s v="Annual Forcemain Inspection"/>
        <s v="Annual Backflow Preventor Inspection and Maintenance"/>
        <s v="Annual Sanitary Air Release Valve Inspection and Maintenance"/>
        <s v="Lift Station Weekly Inspection"/>
        <s v="Lift Station Monthly Inspection"/>
        <s v="Lift Station Quarterly Inspection and Maintenance"/>
        <s v="Lift Station Semi-Annual Inspection and Maintenance"/>
        <s v="Lift Station Annual Inspection and Maintenance"/>
        <s v="Pump out and flush wet well - vac truck"/>
        <s v="Monthly Generator Maintenance"/>
        <s v="Generator Servicing "/>
        <s v="Bi-Annual Lagoon Inspection"/>
        <s v="Monthly Lagoon Facility Inspection"/>
        <s v="Septic Tank Pumping"/>
        <s v="Quarterly Septic Tank Inspection"/>
        <s v="Bi-Annual Septic Tank and Field Inspection and Maintenance"/>
        <s v="Sewage Treatment Plant Inspection"/>
        <s v="Weekly Effluent Pump Station Inspection and Maintenance"/>
        <s v="Annual Effluent Pump Station Inspection and Maintenance"/>
        <s v="RBC Module Inspection"/>
        <s v="Secondary Clarifiers Inspection and Maintenance"/>
        <s v="Chlorinators and Tank Inspection"/>
        <s v="Annual Chlorinators and Tank Inspection and Maintenance"/>
        <s v="Dechlorinator Inspection and Maintenance"/>
        <s v="Flow Recorder Inspection"/>
        <s v="Outfall Inspection"/>
        <s v="Flume Chamber"/>
        <s v="Monthly Influent Screen Inspection"/>
        <s v="Monthly Spray Pump Inspection"/>
        <s v="Quarterly Chemical Dosing Pump Maintenance"/>
        <s v="Semi-Annual Flocculator Tank Maintenance"/>
        <s v="Semi-Annual Filter Maintenance"/>
        <s v="Semi-Annual Chemical Dosing Pump Maintenance"/>
        <s v="Annual Rock Filter Inspection"/>
        <s v="Mechanical Aerators Inspection and Maintenance"/>
        <s v="Weekly Weir and Bypass Chamber Inspection"/>
        <s v="Monthly Weir and Bypass Chamber Inspection and Maintenance"/>
        <s v="Quarterly Weir and Bypass Chambers Inspection &amp; Maintenance"/>
        <s v="Effluent Quality Check "/>
        <s v="Effluent Leakage Check "/>
        <s v="Hydrant Repair (Internal)" u="1"/>
        <s v="Monthly Septic Tank Inspection" u="1"/>
        <s v="Water Treatment Plant Week Day Inspections" u="1"/>
      </sharedItems>
    </cacheField>
    <cacheField name="FREQUENCY" numFmtId="0">
      <sharedItems count="19">
        <s v="Monthly"/>
        <s v="With W01"/>
        <s v="Annual"/>
        <s v="Weekly"/>
        <s v="As required"/>
        <s v="3 Times per Year"/>
        <s v="Daily"/>
        <s v="Quarterly"/>
        <s v="6 times/year"/>
        <s v="Every 6 years"/>
        <s v="Every 3 Years"/>
        <s v="Every 10 Years"/>
        <s v="Semi-Annual"/>
        <s v="Bi-Annual"/>
        <s v="Every 5 years"/>
        <s v="Bi-Weekly"/>
        <s v="Week Days"/>
        <s v="Weekdays" u="1"/>
        <s v="With W03" u="1"/>
      </sharedItems>
    </cacheField>
    <cacheField name="FREQUENCY (TIMES PER YEAR)" numFmtId="0">
      <sharedItems containsSemiMixedTypes="0" containsString="0" containsNumber="1" minValue="0" maxValue="365"/>
    </cacheField>
    <cacheField name="CONTRACTOR COST / UNIT" numFmtId="0">
      <sharedItems containsMixedTypes="1" containsNumber="1" minValue="6.5" maxValue="6.5"/>
    </cacheField>
    <cacheField name="OPERATOR HOURS per TASK" numFmtId="164">
      <sharedItems containsSemiMixedTypes="0" containsString="0" containsNumber="1" minValue="0" maxValue="101"/>
    </cacheField>
    <cacheField name="TRUCK HOURS" numFmtId="2">
      <sharedItems containsSemiMixedTypes="0" containsString="0" containsNumber="1" minValue="0" maxValue="101"/>
    </cacheField>
    <cacheField name="CONTRACTOR COST" numFmtId="44">
      <sharedItems containsSemiMixedTypes="0" containsString="0" containsNumber="1" containsInteger="1" minValue="0" maxValue="39650"/>
    </cacheField>
    <cacheField name="EQUIPMENT" numFmtId="44">
      <sharedItems containsString="0" containsBlank="1" containsNumber="1" containsInteger="1" minValue="0" maxValue="600"/>
    </cacheField>
    <cacheField name="PARTS AND MATERIALS" numFmtId="44">
      <sharedItems containsString="0" containsBlank="1" containsNumber="1" containsInteger="1" minValue="0" maxValue="2400"/>
    </cacheField>
    <cacheField name="QUANTITY LINEAR INFRASTRUCTURE" numFmtId="0">
      <sharedItems containsMixedTypes="1" containsNumber="1" minValue="0" maxValue="120"/>
    </cacheField>
    <cacheField name="QUANTITY NON-LINEAR INFRASTRUCTURE" numFmtId="0">
      <sharedItems containsMixedTypes="1" containsNumber="1" containsInteger="1" minValue="1" maxValue="1"/>
    </cacheField>
    <cacheField name="ANNUAL ENERGY PER UNIT" numFmtId="44">
      <sharedItems containsSemiMixedTypes="0" containsString="0" containsNumber="1" containsInteger="1" minValue="0" maxValue="29000"/>
    </cacheField>
    <cacheField name="TOTAL ANNUAL ENERGY COSTS" numFmtId="44">
      <sharedItems containsSemiMixedTypes="0" containsString="0" containsNumber="1" containsInteger="1" minValue="0" maxValue="2500"/>
    </cacheField>
    <cacheField name="WO Required? " numFmtId="165">
      <sharedItems count="3">
        <s v="YES"/>
        <s v="NO"/>
        <e v="#REF!" u="1"/>
      </sharedItems>
    </cacheField>
    <cacheField name="ANNUAL COST PER UNIT" numFmtId="165">
      <sharedItems containsSemiMixedTypes="0" containsString="0" containsNumber="1" minValue="0" maxValue="4031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stry Glover" refreshedDate="44706.398265856478" createdVersion="7" refreshedVersion="7" minRefreshableVersion="3" recordCount="38" xr:uid="{96993141-DD67-4918-9CD9-E761A1C9FBA8}">
  <cacheSource type="worksheet">
    <worksheetSource name="Table1356"/>
  </cacheSource>
  <cacheFields count="14">
    <cacheField name="NATION ASSET CODE" numFmtId="0">
      <sharedItems containsBlank="1"/>
    </cacheField>
    <cacheField name="ICMS ASSET CODE" numFmtId="0">
      <sharedItems containsNonDate="0" containsString="0" containsBlank="1"/>
    </cacheField>
    <cacheField name="LOCATION DESCRIPTION" numFmtId="0">
      <sharedItems containsBlank="1"/>
    </cacheField>
    <cacheField name="MHs" numFmtId="0">
      <sharedItems containsNonDate="0" containsString="0" containsBlank="1"/>
    </cacheField>
    <cacheField name="Drawing Set" numFmtId="0">
      <sharedItems containsNonDate="0" containsString="0" containsBlank="1"/>
    </cacheField>
    <cacheField name="Notes" numFmtId="0">
      <sharedItems containsBlank="1"/>
    </cacheField>
    <cacheField name="ASSET GROUP" numFmtId="0">
      <sharedItems containsBlank="1"/>
    </cacheField>
    <cacheField name="ASSET SUBGROUP" numFmtId="0">
      <sharedItems containsBlank="1"/>
    </cacheField>
    <cacheField name="ASSET COMPONENT" numFmtId="0">
      <sharedItems containsBlank="1" count="3">
        <s v="Main"/>
        <m/>
        <s v="Forcemain" u="1"/>
      </sharedItems>
    </cacheField>
    <cacheField name="MATERIAL" numFmtId="0">
      <sharedItems containsBlank="1"/>
    </cacheField>
    <cacheField name="SIZE" numFmtId="0">
      <sharedItems containsBlank="1"/>
    </cacheField>
    <cacheField name="LENGTH (m)" numFmtId="0">
      <sharedItems containsString="0" containsBlank="1" containsNumber="1" containsInteger="1" minValue="5000" maxValue="5000"/>
    </cacheField>
    <cacheField name="DATE OF INSTALLATION" numFmtId="0">
      <sharedItems containsNonDate="0" containsDate="1" containsString="0" containsBlank="1" minDate="1983-01-01T00:00:00" maxDate="1983-01-02T00:00:00"/>
    </cacheField>
    <cacheField name="CONDITION"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stry Glover" refreshedDate="44706.401045833336" createdVersion="7" refreshedVersion="7" minRefreshableVersion="3" recordCount="22" xr:uid="{A55D9AE0-D89F-4301-913E-07EFAB210A6A}">
  <cacheSource type="worksheet">
    <worksheetSource name="Table13567"/>
  </cacheSource>
  <cacheFields count="11">
    <cacheField name="NATION ASSET CODE" numFmtId="0">
      <sharedItems containsBlank="1"/>
    </cacheField>
    <cacheField name="ICMS ASSET CODE" numFmtId="0">
      <sharedItems containsNonDate="0" containsString="0" containsBlank="1"/>
    </cacheField>
    <cacheField name="LOCATION DESCRIPTION" numFmtId="0">
      <sharedItems containsBlank="1"/>
    </cacheField>
    <cacheField name="ASSET GROUP" numFmtId="0">
      <sharedItems containsBlank="1"/>
    </cacheField>
    <cacheField name="ASSET SUBGROUP" numFmtId="0">
      <sharedItems containsBlank="1"/>
    </cacheField>
    <cacheField name="ASSET COMPONENT" numFmtId="0">
      <sharedItems containsBlank="1" count="13">
        <s v="Boost Station"/>
        <s v="Air Release Valve"/>
        <m/>
        <s v="PRV" u="1"/>
        <s v="Community Septic Field" u="1"/>
        <s v="Steel Reservoir" u="1"/>
        <s v="Air Valve" u="1"/>
        <s v="Community Septic Tank" u="1"/>
        <s v="Water Treatment Plant" u="1"/>
        <s v="Sewage Treatment Plant" u="1"/>
        <s v="Seweage Treatment System" u="1"/>
        <s v="Lift Station" u="1"/>
        <s v="Reservoir" u="1"/>
      </sharedItems>
    </cacheField>
    <cacheField name="TYPE" numFmtId="0">
      <sharedItems containsBlank="1"/>
    </cacheField>
    <cacheField name="SIZE " numFmtId="0">
      <sharedItems containsNonDate="0" containsString="0" containsBlank="1"/>
    </cacheField>
    <cacheField name="UNIT" numFmtId="0">
      <sharedItems/>
    </cacheField>
    <cacheField name="DATE OF INSTALLATION" numFmtId="0">
      <sharedItems containsString="0" containsBlank="1" containsNumber="1" containsInteger="1" minValue="1999" maxValue="1999"/>
    </cacheField>
    <cacheField name="CONDITION" numFmtId="0">
      <sharedItems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Destry Glover" refreshedDate="44711.73928263889" createdVersion="7" refreshedVersion="8" minRefreshableVersion="3" recordCount="43" xr:uid="{DD3320BE-9243-412F-B2DD-1C57F72C92FD}">
  <cacheSource type="worksheet">
    <worksheetSource name="Table210"/>
  </cacheSource>
  <cacheFields count="17">
    <cacheField name="Task Code" numFmtId="0">
      <sharedItems containsNonDate="0" containsBlank="1" count="50">
        <m/>
        <s v="ST05" u="1"/>
        <s v="ST15" u="1"/>
        <s v="ST04" u="1"/>
        <s v="ST14" u="1"/>
        <s v="W01" u="1"/>
        <s v="WS05" u="1"/>
        <s v="W02" u="1"/>
        <s v="ST03" u="1"/>
        <s v="W03" u="1"/>
        <s v="ST13" u="1"/>
        <s v="W04" u="1"/>
        <s v="WS04" u="1"/>
        <s v="W05" u="1"/>
        <s v="W06" u="1"/>
        <s v="ST12" u="1"/>
        <s v="W07" u="1"/>
        <s v="W08" u="1"/>
        <s v="WS03" u="1"/>
        <s v="W09" u="1"/>
        <s v="WT08" u="1"/>
        <s v="LS06" u="1"/>
        <s v="ST11" u="1"/>
        <s v="WS02" u="1"/>
        <s v="S01" u="1"/>
        <s v="WT07" u="1"/>
        <s v="S02" u="1"/>
        <s v="LS05" u="1"/>
        <s v="ST10" u="1"/>
        <s v="S03" u="1"/>
        <s v="S04" u="1"/>
        <s v="WS01" u="1"/>
        <s v="S05" u="1"/>
        <s v="WT06" u="1"/>
        <s v="ST09" u="1"/>
        <s v="LS04" u="1"/>
        <s v="W10" u="1"/>
        <s v="W11" u="1"/>
        <s v="WT05" u="1"/>
        <s v="ST08" u="1"/>
        <s v="W12" u="1"/>
        <s v="LS03" u="1"/>
        <s v="W13" u="1"/>
        <s v="W14" u="1"/>
        <s v="WT04" u="1"/>
        <s v="W15" u="1"/>
        <s v="ST07" u="1"/>
        <s v="LS02" u="1"/>
        <s v="ST06" u="1"/>
        <s v="LS01" u="1"/>
      </sharedItems>
    </cacheField>
    <cacheField name="Asset Group" numFmtId="0">
      <sharedItems count="4">
        <s v=" "/>
        <s v="SANITARY" u="1"/>
        <s v="WATER" u="1"/>
        <e v="#N/A" u="1"/>
      </sharedItems>
    </cacheField>
    <cacheField name="Asset Component" numFmtId="0">
      <sharedItems count="11">
        <s v=" "/>
        <s v="Main" u="1"/>
        <s v="Forcemain" u="1"/>
        <s v="Lift Station" u="1"/>
        <s v="Storage" u="1"/>
        <e v="#N/A" u="1"/>
        <s v="Community Septic Tank" u="1"/>
        <s v="Sewage Treatment Plant" u="1"/>
        <s v="Water Treatment Plant" u="1"/>
        <s v="Septic Tank / Field" u="1"/>
        <s v="Reservoir" u="1"/>
      </sharedItems>
    </cacheField>
    <cacheField name="Task Description" numFmtId="0">
      <sharedItems/>
    </cacheField>
    <cacheField name="Frequency" numFmtId="0">
      <sharedItems/>
    </cacheField>
    <cacheField name="Frequency Data" numFmtId="0">
      <sharedItems/>
    </cacheField>
    <cacheField name="Quantity2" numFmtId="0">
      <sharedItems/>
    </cacheField>
    <cacheField name="Operator" numFmtId="1">
      <sharedItems/>
    </cacheField>
    <cacheField name="Truck" numFmtId="1">
      <sharedItems/>
    </cacheField>
    <cacheField name="Contractor" numFmtId="44">
      <sharedItems/>
    </cacheField>
    <cacheField name="Equipment" numFmtId="44">
      <sharedItems/>
    </cacheField>
    <cacheField name="Parts &amp; Materials" numFmtId="44">
      <sharedItems/>
    </cacheField>
    <cacheField name="Annual Energy Cost" numFmtId="44">
      <sharedItems/>
    </cacheField>
    <cacheField name="Annual Budget" numFmtId="44">
      <sharedItems/>
    </cacheField>
    <cacheField name="Annual O&amp;M Per Unit" numFmtId="0" formula=" 0" databaseField="0"/>
    <cacheField name="Annual Per Unit" numFmtId="0" formula="'Annual Budget'/#NAME?" databaseField="0"/>
    <cacheField name="Field1" numFmtId="0" formula="'Annual Budget'*#NAME?"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8">
  <r>
    <x v="0"/>
    <x v="0"/>
    <x v="0"/>
    <x v="0"/>
    <x v="0"/>
    <x v="0"/>
    <n v="11"/>
    <s v="N/A"/>
    <n v="78.5"/>
    <n v="78.5"/>
    <n v="0"/>
    <n v="100"/>
    <n v="175"/>
    <n v="10"/>
    <s v="N/A"/>
    <n v="0"/>
    <n v="0"/>
    <x v="0"/>
    <n v="4401.2426965517243"/>
  </r>
  <r>
    <x v="1"/>
    <x v="0"/>
    <x v="0"/>
    <x v="0"/>
    <x v="1"/>
    <x v="1"/>
    <n v="0"/>
    <s v="N/A"/>
    <n v="0"/>
    <n v="0"/>
    <n v="0"/>
    <n v="0"/>
    <n v="0"/>
    <n v="120"/>
    <s v="N/A"/>
    <n v="0"/>
    <n v="0"/>
    <x v="0"/>
    <n v="0"/>
  </r>
  <r>
    <x v="2"/>
    <x v="0"/>
    <x v="0"/>
    <x v="0"/>
    <x v="2"/>
    <x v="2"/>
    <n v="1"/>
    <s v="N/A"/>
    <n v="101"/>
    <n v="101"/>
    <n v="0"/>
    <n v="100"/>
    <n v="50"/>
    <n v="10"/>
    <s v="N/A"/>
    <n v="0"/>
    <n v="0"/>
    <x v="0"/>
    <n v="494.41286896551719"/>
  </r>
  <r>
    <x v="3"/>
    <x v="0"/>
    <x v="0"/>
    <x v="0"/>
    <x v="3"/>
    <x v="2"/>
    <n v="1"/>
    <s v="N/A"/>
    <n v="35"/>
    <n v="35"/>
    <n v="0"/>
    <n v="100"/>
    <n v="50"/>
    <n v="50"/>
    <s v="N/A"/>
    <n v="0"/>
    <n v="0"/>
    <x v="0"/>
    <n v="36.22663448275862"/>
  </r>
  <r>
    <x v="4"/>
    <x v="0"/>
    <x v="1"/>
    <x v="0"/>
    <x v="4"/>
    <x v="2"/>
    <n v="1"/>
    <s v="N/A"/>
    <n v="0"/>
    <n v="0"/>
    <n v="1000"/>
    <n v="0"/>
    <n v="0"/>
    <n v="0"/>
    <s v="N/A"/>
    <n v="0"/>
    <n v="0"/>
    <x v="1"/>
    <n v="0"/>
  </r>
  <r>
    <x v="5"/>
    <x v="0"/>
    <x v="1"/>
    <x v="0"/>
    <x v="5"/>
    <x v="3"/>
    <n v="52"/>
    <s v="N/A"/>
    <n v="1"/>
    <n v="0.5"/>
    <n v="0"/>
    <n v="0"/>
    <n v="0"/>
    <n v="0"/>
    <s v="N/A"/>
    <n v="0"/>
    <n v="0"/>
    <x v="1"/>
    <n v="0"/>
  </r>
  <r>
    <x v="6"/>
    <x v="0"/>
    <x v="0"/>
    <x v="0"/>
    <x v="6"/>
    <x v="4"/>
    <n v="0"/>
    <s v="N/A"/>
    <n v="8"/>
    <n v="0.5"/>
    <n v="0"/>
    <n v="0"/>
    <n v="0"/>
    <n v="10"/>
    <s v="N/A"/>
    <n v="0"/>
    <n v="0"/>
    <x v="0"/>
    <n v="0"/>
  </r>
  <r>
    <x v="7"/>
    <x v="0"/>
    <x v="0"/>
    <x v="0"/>
    <x v="7"/>
    <x v="4"/>
    <n v="0"/>
    <s v="N/A"/>
    <n v="4"/>
    <n v="0"/>
    <n v="0"/>
    <n v="0"/>
    <n v="50"/>
    <n v="10"/>
    <s v="N/A"/>
    <n v="0"/>
    <n v="0"/>
    <x v="0"/>
    <n v="0"/>
  </r>
  <r>
    <x v="8"/>
    <x v="0"/>
    <x v="0"/>
    <x v="0"/>
    <x v="8"/>
    <x v="4"/>
    <n v="0"/>
    <s v="N/A"/>
    <n v="4"/>
    <n v="0"/>
    <n v="0"/>
    <n v="0"/>
    <n v="25"/>
    <n v="10"/>
    <s v="N/A"/>
    <n v="0"/>
    <n v="0"/>
    <x v="0"/>
    <n v="0"/>
  </r>
  <r>
    <x v="9"/>
    <x v="0"/>
    <x v="0"/>
    <x v="0"/>
    <x v="9"/>
    <x v="5"/>
    <n v="3"/>
    <s v="N/A"/>
    <n v="76"/>
    <n v="76"/>
    <n v="0"/>
    <m/>
    <m/>
    <n v="10"/>
    <s v="N/A"/>
    <n v="0"/>
    <n v="0"/>
    <x v="0"/>
    <n v="1082.2389517241379"/>
  </r>
  <r>
    <x v="10"/>
    <x v="0"/>
    <x v="0"/>
    <x v="0"/>
    <x v="10"/>
    <x v="4"/>
    <n v="0"/>
    <s v="N/A"/>
    <n v="4"/>
    <n v="4"/>
    <n v="0"/>
    <n v="0"/>
    <n v="25"/>
    <n v="10"/>
    <s v="N/A"/>
    <n v="0"/>
    <n v="0"/>
    <x v="0"/>
    <n v="0"/>
  </r>
  <r>
    <x v="11"/>
    <x v="0"/>
    <x v="0"/>
    <x v="0"/>
    <x v="11"/>
    <x v="4"/>
    <n v="0"/>
    <s v="N/A"/>
    <n v="4"/>
    <n v="4"/>
    <n v="0"/>
    <n v="0"/>
    <n v="25"/>
    <n v="10"/>
    <s v="N/A"/>
    <n v="0"/>
    <n v="0"/>
    <x v="0"/>
    <n v="0"/>
  </r>
  <r>
    <x v="12"/>
    <x v="0"/>
    <x v="0"/>
    <x v="0"/>
    <x v="12"/>
    <x v="4"/>
    <n v="0"/>
    <s v="N/A"/>
    <n v="2"/>
    <n v="2"/>
    <n v="0"/>
    <n v="10"/>
    <n v="25"/>
    <n v="10"/>
    <s v="N/A"/>
    <n v="0"/>
    <n v="0"/>
    <x v="0"/>
    <n v="0"/>
  </r>
  <r>
    <x v="13"/>
    <x v="0"/>
    <x v="0"/>
    <x v="0"/>
    <x v="13"/>
    <x v="2"/>
    <n v="1"/>
    <s v="N/A"/>
    <n v="1"/>
    <n v="1"/>
    <n v="0"/>
    <n v="50"/>
    <n v="500"/>
    <n v="0"/>
    <s v="N/A"/>
    <n v="0"/>
    <n v="0"/>
    <x v="1"/>
    <n v="0"/>
  </r>
  <r>
    <x v="14"/>
    <x v="0"/>
    <x v="2"/>
    <x v="1"/>
    <x v="14"/>
    <x v="6"/>
    <n v="360"/>
    <s v="N/A"/>
    <n v="0.5"/>
    <n v="0.5"/>
    <n v="0"/>
    <n v="1"/>
    <n v="5"/>
    <s v="N/A"/>
    <s v="N/A"/>
    <n v="0"/>
    <n v="0"/>
    <x v="1"/>
    <n v="10703.991724137932"/>
  </r>
  <r>
    <x v="15"/>
    <x v="0"/>
    <x v="2"/>
    <x v="1"/>
    <x v="15"/>
    <x v="7"/>
    <n v="3"/>
    <s v="N/A"/>
    <n v="2"/>
    <n v="1"/>
    <n v="0"/>
    <n v="25"/>
    <n v="2400"/>
    <s v="N/A"/>
    <s v="N/A"/>
    <n v="0"/>
    <n v="0"/>
    <x v="1"/>
    <n v="7510.3998620689654"/>
  </r>
  <r>
    <x v="16"/>
    <x v="0"/>
    <x v="2"/>
    <x v="1"/>
    <x v="16"/>
    <x v="2"/>
    <n v="1"/>
    <s v="N/A"/>
    <n v="4"/>
    <n v="1"/>
    <n v="0"/>
    <n v="50"/>
    <n v="200"/>
    <s v="N/A"/>
    <s v="N/A"/>
    <n v="0"/>
    <n v="0"/>
    <x v="1"/>
    <n v="390.4666206896552"/>
  </r>
  <r>
    <x v="17"/>
    <x v="0"/>
    <x v="2"/>
    <x v="2"/>
    <x v="17"/>
    <x v="6"/>
    <n v="365"/>
    <s v="N/A"/>
    <n v="1"/>
    <n v="0"/>
    <n v="0"/>
    <n v="0"/>
    <n v="0"/>
    <s v="N/A"/>
    <s v="N/A"/>
    <n v="29000"/>
    <n v="0"/>
    <x v="1"/>
    <n v="40315"/>
  </r>
  <r>
    <x v="18"/>
    <x v="0"/>
    <x v="2"/>
    <x v="2"/>
    <x v="18"/>
    <x v="3"/>
    <n v="52"/>
    <s v="N/A"/>
    <n v="2"/>
    <n v="0"/>
    <n v="0"/>
    <n v="0"/>
    <n v="10"/>
    <s v="N/A"/>
    <s v="N/A"/>
    <n v="0"/>
    <n v="0"/>
    <x v="1"/>
    <n v="3744"/>
  </r>
  <r>
    <x v="19"/>
    <x v="0"/>
    <x v="2"/>
    <x v="2"/>
    <x v="19"/>
    <x v="8"/>
    <n v="6"/>
    <s v="N/A"/>
    <n v="16"/>
    <n v="2"/>
    <n v="0"/>
    <n v="200"/>
    <n v="100"/>
    <s v="N/A"/>
    <s v="N/A"/>
    <n v="0"/>
    <n v="0"/>
    <x v="1"/>
    <n v="4973.5994482758624"/>
  </r>
  <r>
    <x v="20"/>
    <x v="0"/>
    <x v="2"/>
    <x v="2"/>
    <x v="20"/>
    <x v="9"/>
    <n v="0.16666666666666666"/>
    <s v="N/A"/>
    <n v="60"/>
    <n v="20"/>
    <n v="0"/>
    <n v="200"/>
    <n v="1000"/>
    <s v="N/A"/>
    <s v="N/A"/>
    <n v="0"/>
    <n v="0"/>
    <x v="1"/>
    <n v="564.88873563218385"/>
  </r>
  <r>
    <x v="21"/>
    <x v="0"/>
    <x v="1"/>
    <x v="3"/>
    <x v="21"/>
    <x v="3"/>
    <n v="40"/>
    <s v="N/A"/>
    <n v="1"/>
    <n v="1"/>
    <n v="0"/>
    <n v="0"/>
    <n v="0"/>
    <s v="N/A"/>
    <s v="N/A"/>
    <n v="0"/>
    <n v="0"/>
    <x v="1"/>
    <n v="1898.6648275862069"/>
  </r>
  <r>
    <x v="22"/>
    <x v="0"/>
    <x v="1"/>
    <x v="3"/>
    <x v="22"/>
    <x v="0"/>
    <n v="11"/>
    <s v="N/A"/>
    <n v="2"/>
    <n v="1"/>
    <n v="0"/>
    <n v="0"/>
    <n v="25"/>
    <s v="N/A"/>
    <s v="N/A"/>
    <n v="0"/>
    <n v="0"/>
    <x v="1"/>
    <n v="1138.132827586207"/>
  </r>
  <r>
    <x v="23"/>
    <x v="0"/>
    <x v="1"/>
    <x v="3"/>
    <x v="23"/>
    <x v="2"/>
    <n v="1"/>
    <s v="N/A"/>
    <n v="3"/>
    <n v="1"/>
    <n v="0"/>
    <n v="50"/>
    <n v="50"/>
    <s v="N/A"/>
    <s v="N/A"/>
    <n v="900"/>
    <n v="0"/>
    <x v="1"/>
    <n v="1109.4666206896552"/>
  </r>
  <r>
    <x v="24"/>
    <x v="0"/>
    <x v="1"/>
    <x v="3"/>
    <x v="24"/>
    <x v="10"/>
    <n v="0.33333333333333331"/>
    <s v="N/A"/>
    <n v="4"/>
    <n v="1"/>
    <n v="0"/>
    <n v="0"/>
    <n v="50"/>
    <s v="N/A"/>
    <s v="N/A"/>
    <n v="0"/>
    <n v="0"/>
    <x v="1"/>
    <n v="63.488873563218391"/>
  </r>
  <r>
    <x v="25"/>
    <x v="0"/>
    <x v="0"/>
    <x v="4"/>
    <x v="25"/>
    <x v="3"/>
    <n v="40"/>
    <s v="N/A"/>
    <n v="1"/>
    <n v="1"/>
    <n v="0"/>
    <n v="0"/>
    <n v="5"/>
    <s v="N/A"/>
    <n v="1"/>
    <n v="0"/>
    <n v="0"/>
    <x v="0"/>
    <n v="2098.6648275862071"/>
  </r>
  <r>
    <x v="26"/>
    <x v="0"/>
    <x v="0"/>
    <x v="4"/>
    <x v="26"/>
    <x v="0"/>
    <n v="11"/>
    <s v="N/A"/>
    <n v="4"/>
    <n v="1"/>
    <n v="0"/>
    <n v="10"/>
    <n v="50"/>
    <s v="N/A"/>
    <n v="1"/>
    <n v="0"/>
    <n v="0"/>
    <x v="0"/>
    <n v="2205.132827586207"/>
  </r>
  <r>
    <x v="27"/>
    <x v="0"/>
    <x v="0"/>
    <x v="4"/>
    <x v="27"/>
    <x v="2"/>
    <n v="1"/>
    <s v="N/A"/>
    <n v="6"/>
    <n v="1"/>
    <n v="0"/>
    <n v="50"/>
    <n v="100"/>
    <s v="N/A"/>
    <n v="1"/>
    <n v="2500"/>
    <n v="2500"/>
    <x v="0"/>
    <n v="2852.4666206896554"/>
  </r>
  <r>
    <x v="28"/>
    <x v="0"/>
    <x v="3"/>
    <x v="5"/>
    <x v="28"/>
    <x v="3"/>
    <n v="40"/>
    <s v="N/A"/>
    <n v="1"/>
    <n v="1"/>
    <n v="0"/>
    <n v="0"/>
    <n v="0"/>
    <s v="N/A"/>
    <s v="N/A"/>
    <n v="0"/>
    <n v="0"/>
    <x v="1"/>
    <n v="1898.6648275862069"/>
  </r>
  <r>
    <x v="29"/>
    <x v="0"/>
    <x v="3"/>
    <x v="5"/>
    <x v="29"/>
    <x v="0"/>
    <n v="8"/>
    <s v="N/A"/>
    <n v="3"/>
    <n v="1"/>
    <n v="0"/>
    <n v="10"/>
    <n v="50"/>
    <s v="N/A"/>
    <s v="N/A"/>
    <n v="0"/>
    <n v="0"/>
    <x v="1"/>
    <n v="1355.7329655172414"/>
  </r>
  <r>
    <x v="30"/>
    <x v="0"/>
    <x v="3"/>
    <x v="5"/>
    <x v="30"/>
    <x v="7"/>
    <n v="3"/>
    <s v="N/A"/>
    <n v="3"/>
    <n v="1"/>
    <n v="0"/>
    <n v="10"/>
    <n v="50"/>
    <s v="N/A"/>
    <s v="N/A"/>
    <n v="0"/>
    <n v="0"/>
    <x v="1"/>
    <n v="508.39986206896549"/>
  </r>
  <r>
    <x v="31"/>
    <x v="0"/>
    <x v="3"/>
    <x v="5"/>
    <x v="31"/>
    <x v="2"/>
    <n v="1"/>
    <s v="N/A"/>
    <n v="4"/>
    <n v="1"/>
    <n v="0"/>
    <n v="10"/>
    <n v="100"/>
    <s v="N/A"/>
    <s v="N/A"/>
    <n v="0"/>
    <n v="0"/>
    <x v="1"/>
    <n v="250.46662068965517"/>
  </r>
  <r>
    <x v="32"/>
    <x v="0"/>
    <x v="3"/>
    <x v="5"/>
    <x v="32"/>
    <x v="10"/>
    <n v="0.33333333333333331"/>
    <s v="N/A"/>
    <n v="8"/>
    <n v="1"/>
    <n v="0"/>
    <n v="50"/>
    <n v="200"/>
    <s v="N/A"/>
    <s v="N/A"/>
    <n v="0"/>
    <n v="0"/>
    <x v="1"/>
    <n v="171.48887356321839"/>
  </r>
  <r>
    <x v="33"/>
    <x v="1"/>
    <x v="4"/>
    <x v="0"/>
    <x v="33"/>
    <x v="2"/>
    <n v="1"/>
    <s v="N/A"/>
    <n v="40"/>
    <n v="40"/>
    <n v="0"/>
    <n v="50"/>
    <n v="200"/>
    <n v="5"/>
    <s v="N/A"/>
    <n v="0"/>
    <n v="0"/>
    <x v="0"/>
    <n v="429.73296551724144"/>
  </r>
  <r>
    <x v="34"/>
    <x v="1"/>
    <x v="4"/>
    <x v="0"/>
    <x v="34"/>
    <x v="10"/>
    <n v="0.33333333333333331"/>
    <s v="N/A"/>
    <n v="57"/>
    <n v="57"/>
    <n v="0"/>
    <n v="75"/>
    <n v="0"/>
    <n v="5"/>
    <s v="N/A"/>
    <n v="0"/>
    <n v="0"/>
    <x v="0"/>
    <n v="185.37315862068965"/>
  </r>
  <r>
    <x v="35"/>
    <x v="1"/>
    <x v="4"/>
    <x v="0"/>
    <x v="35"/>
    <x v="11"/>
    <n v="0.1"/>
    <n v="6.5"/>
    <n v="11"/>
    <n v="11"/>
    <n v="39650"/>
    <n v="0"/>
    <n v="0"/>
    <n v="5"/>
    <s v="N/A"/>
    <n v="0"/>
    <n v="0"/>
    <x v="0"/>
    <n v="803.4426565517241"/>
  </r>
  <r>
    <x v="36"/>
    <x v="1"/>
    <x v="4"/>
    <x v="0"/>
    <x v="36"/>
    <x v="4"/>
    <n v="1"/>
    <s v="N/A"/>
    <n v="0"/>
    <n v="0"/>
    <n v="1500"/>
    <n v="0"/>
    <n v="0"/>
    <n v="5"/>
    <s v="N/A"/>
    <n v="0"/>
    <n v="0"/>
    <x v="0"/>
    <n v="300"/>
  </r>
  <r>
    <x v="37"/>
    <x v="1"/>
    <x v="4"/>
    <x v="6"/>
    <x v="37"/>
    <x v="2"/>
    <n v="1"/>
    <s v="N/A"/>
    <n v="2.1"/>
    <n v="2.1"/>
    <n v="0"/>
    <n v="100"/>
    <n v="50"/>
    <n v="1.1000000000000001"/>
    <s v="N/A"/>
    <n v="0"/>
    <n v="0"/>
    <x v="0"/>
    <n v="226.98173040752349"/>
  </r>
  <r>
    <x v="38"/>
    <x v="1"/>
    <x v="4"/>
    <x v="7"/>
    <x v="38"/>
    <x v="2"/>
    <n v="1"/>
    <s v="N/A"/>
    <n v="1"/>
    <n v="1"/>
    <n v="1500"/>
    <n v="0"/>
    <n v="0"/>
    <s v="N/A"/>
    <s v="N/A"/>
    <n v="0"/>
    <n v="0"/>
    <x v="1"/>
    <n v="1547.4666206896552"/>
  </r>
  <r>
    <x v="39"/>
    <x v="1"/>
    <x v="4"/>
    <x v="8"/>
    <x v="39"/>
    <x v="2"/>
    <n v="1"/>
    <s v="N/A"/>
    <n v="0.5"/>
    <n v="0.5"/>
    <n v="0"/>
    <n v="0"/>
    <n v="0"/>
    <s v="N/A"/>
    <s v="N/A"/>
    <n v="0"/>
    <n v="0"/>
    <x v="1"/>
    <n v="23.733310344827586"/>
  </r>
  <r>
    <x v="40"/>
    <x v="1"/>
    <x v="4"/>
    <x v="9"/>
    <x v="40"/>
    <x v="3"/>
    <n v="40"/>
    <s v="N/A"/>
    <n v="1"/>
    <n v="1"/>
    <n v="0"/>
    <n v="0"/>
    <n v="50"/>
    <s v="N/A"/>
    <n v="1"/>
    <n v="0"/>
    <n v="0"/>
    <x v="0"/>
    <n v="3898.6648275862071"/>
  </r>
  <r>
    <x v="41"/>
    <x v="1"/>
    <x v="4"/>
    <x v="9"/>
    <x v="41"/>
    <x v="0"/>
    <n v="8"/>
    <s v="N/A"/>
    <n v="1.5"/>
    <n v="1"/>
    <n v="0"/>
    <n v="0"/>
    <n v="50"/>
    <s v="N/A"/>
    <n v="1"/>
    <n v="0"/>
    <n v="0"/>
    <x v="0"/>
    <n v="903.73296551724138"/>
  </r>
  <r>
    <x v="42"/>
    <x v="1"/>
    <x v="4"/>
    <x v="9"/>
    <x v="42"/>
    <x v="7"/>
    <n v="2"/>
    <s v="N/A"/>
    <n v="3"/>
    <n v="1"/>
    <n v="0"/>
    <n v="50"/>
    <n v="150"/>
    <s v="N/A"/>
    <n v="1"/>
    <n v="0"/>
    <n v="0"/>
    <x v="0"/>
    <n v="618.9332413793104"/>
  </r>
  <r>
    <x v="43"/>
    <x v="1"/>
    <x v="4"/>
    <x v="9"/>
    <x v="43"/>
    <x v="12"/>
    <n v="1"/>
    <s v="N/A"/>
    <n v="6"/>
    <n v="1"/>
    <n v="0"/>
    <n v="50"/>
    <n v="100"/>
    <s v="N/A"/>
    <n v="1"/>
    <n v="0"/>
    <n v="0"/>
    <x v="0"/>
    <n v="352.4666206896552"/>
  </r>
  <r>
    <x v="44"/>
    <x v="1"/>
    <x v="4"/>
    <x v="9"/>
    <x v="44"/>
    <x v="2"/>
    <n v="1"/>
    <s v="N/A"/>
    <n v="8"/>
    <n v="1"/>
    <n v="0"/>
    <n v="600"/>
    <n v="900"/>
    <s v="N/A"/>
    <n v="1"/>
    <n v="1300"/>
    <n v="1300"/>
    <x v="0"/>
    <n v="3064.4666206896554"/>
  </r>
  <r>
    <x v="45"/>
    <x v="1"/>
    <x v="4"/>
    <x v="9"/>
    <x v="45"/>
    <x v="2"/>
    <n v="1"/>
    <s v="N/A"/>
    <n v="1"/>
    <n v="1"/>
    <n v="2500"/>
    <n v="0"/>
    <n v="0"/>
    <s v="N/A"/>
    <n v="1"/>
    <n v="0"/>
    <n v="0"/>
    <x v="0"/>
    <n v="2547.466620689655"/>
  </r>
  <r>
    <x v="46"/>
    <x v="2"/>
    <x v="5"/>
    <x v="10"/>
    <x v="46"/>
    <x v="0"/>
    <n v="12"/>
    <s v="N/A"/>
    <n v="1"/>
    <n v="0"/>
    <n v="0"/>
    <n v="0"/>
    <n v="50"/>
    <s v="N/A"/>
    <s v="N/A"/>
    <n v="0"/>
    <n v="0"/>
    <x v="1"/>
    <n v="972"/>
  </r>
  <r>
    <x v="47"/>
    <x v="2"/>
    <x v="5"/>
    <x v="10"/>
    <x v="47"/>
    <x v="4"/>
    <n v="1"/>
    <s v="N/A"/>
    <n v="2"/>
    <n v="0"/>
    <n v="600"/>
    <n v="0"/>
    <n v="0"/>
    <s v="N/A"/>
    <s v="N/A"/>
    <n v="0"/>
    <n v="0"/>
    <x v="1"/>
    <n v="662"/>
  </r>
  <r>
    <x v="48"/>
    <x v="1"/>
    <x v="2"/>
    <x v="11"/>
    <x v="48"/>
    <x v="13"/>
    <n v="2"/>
    <s v="N/A"/>
    <n v="3"/>
    <n v="0.5"/>
    <n v="0"/>
    <n v="100"/>
    <n v="150"/>
    <s v="N/A"/>
    <s v="N/A"/>
    <n v="0"/>
    <n v="0"/>
    <x v="1"/>
    <n v="702.4666206896552"/>
  </r>
  <r>
    <x v="49"/>
    <x v="1"/>
    <x v="2"/>
    <x v="11"/>
    <x v="49"/>
    <x v="0"/>
    <n v="10"/>
    <s v="N/A"/>
    <n v="1.5"/>
    <n v="1"/>
    <n v="0"/>
    <n v="100"/>
    <n v="100"/>
    <s v="N/A"/>
    <s v="N/A"/>
    <n v="0"/>
    <n v="0"/>
    <x v="1"/>
    <n v="2629.666206896552"/>
  </r>
  <r>
    <x v="50"/>
    <x v="1"/>
    <x v="2"/>
    <x v="12"/>
    <x v="50"/>
    <x v="14"/>
    <n v="0.2"/>
    <s v="N/A"/>
    <n v="1"/>
    <n v="0.5"/>
    <n v="500"/>
    <n v="0"/>
    <n v="0"/>
    <s v="N/A"/>
    <s v="N/A"/>
    <n v="0"/>
    <n v="0"/>
    <x v="1"/>
    <n v="107.84666206896553"/>
  </r>
  <r>
    <x v="51"/>
    <x v="1"/>
    <x v="2"/>
    <x v="12"/>
    <x v="51"/>
    <x v="0"/>
    <n v="10"/>
    <s v="N/A"/>
    <n v="1"/>
    <n v="0.5"/>
    <n v="0"/>
    <n v="50"/>
    <n v="50"/>
    <s v="N/A"/>
    <s v="N/A"/>
    <n v="0"/>
    <n v="0"/>
    <x v="1"/>
    <n v="1392.333103448276"/>
  </r>
  <r>
    <x v="52"/>
    <x v="1"/>
    <x v="2"/>
    <x v="12"/>
    <x v="52"/>
    <x v="13"/>
    <n v="2"/>
    <s v="N/A"/>
    <n v="3"/>
    <n v="0.5"/>
    <n v="0"/>
    <n v="50"/>
    <n v="300"/>
    <s v="N/A"/>
    <s v="N/A"/>
    <n v="0"/>
    <n v="0"/>
    <x v="1"/>
    <n v="902.4666206896552"/>
  </r>
  <r>
    <x v="53"/>
    <x v="1"/>
    <x v="2"/>
    <x v="13"/>
    <x v="53"/>
    <x v="6"/>
    <n v="365"/>
    <s v="N/A"/>
    <n v="0.25"/>
    <n v="0.25"/>
    <n v="0"/>
    <n v="0"/>
    <n v="0"/>
    <s v="N/A"/>
    <s v="N/A"/>
    <n v="0"/>
    <n v="0"/>
    <x v="1"/>
    <n v="4331.3291379310349"/>
  </r>
  <r>
    <x v="54"/>
    <x v="1"/>
    <x v="2"/>
    <x v="13"/>
    <x v="54"/>
    <x v="3"/>
    <n v="52"/>
    <s v="N/A"/>
    <n v="0.5"/>
    <n v="0.25"/>
    <n v="0"/>
    <n v="0"/>
    <n v="0"/>
    <s v="N/A"/>
    <s v="N/A"/>
    <n v="0"/>
    <n v="0"/>
    <x v="1"/>
    <n v="1020.0660689655173"/>
  </r>
  <r>
    <x v="55"/>
    <x v="1"/>
    <x v="2"/>
    <x v="13"/>
    <x v="55"/>
    <x v="2"/>
    <n v="1"/>
    <s v="N/A"/>
    <n v="1"/>
    <n v="0.25"/>
    <n v="0"/>
    <n v="0"/>
    <n v="0"/>
    <s v="N/A"/>
    <s v="N/A"/>
    <n v="2300"/>
    <n v="0"/>
    <x v="1"/>
    <n v="2335.1166551724136"/>
  </r>
  <r>
    <x v="56"/>
    <x v="1"/>
    <x v="2"/>
    <x v="13"/>
    <x v="56"/>
    <x v="0"/>
    <n v="12"/>
    <s v="N/A"/>
    <n v="1"/>
    <n v="0.25"/>
    <n v="0"/>
    <n v="0"/>
    <n v="10"/>
    <s v="N/A"/>
    <s v="N/A"/>
    <n v="0"/>
    <n v="0"/>
    <x v="1"/>
    <n v="541.39986206896549"/>
  </r>
  <r>
    <x v="57"/>
    <x v="1"/>
    <x v="2"/>
    <x v="13"/>
    <x v="57"/>
    <x v="6"/>
    <n v="365"/>
    <s v="N/A"/>
    <n v="0.5"/>
    <n v="0.25"/>
    <n v="0"/>
    <n v="0"/>
    <n v="0"/>
    <s v="N/A"/>
    <s v="N/A"/>
    <n v="0"/>
    <n v="0"/>
    <x v="1"/>
    <n v="7160.0791379310349"/>
  </r>
  <r>
    <x v="58"/>
    <x v="1"/>
    <x v="2"/>
    <x v="13"/>
    <x v="58"/>
    <x v="3"/>
    <n v="52"/>
    <s v="N/A"/>
    <n v="0.25"/>
    <n v="0.25"/>
    <n v="0"/>
    <n v="0"/>
    <n v="10"/>
    <s v="N/A"/>
    <s v="N/A"/>
    <n v="0"/>
    <n v="0"/>
    <x v="1"/>
    <n v="1137.0660689655172"/>
  </r>
  <r>
    <x v="59"/>
    <x v="1"/>
    <x v="2"/>
    <x v="13"/>
    <x v="59"/>
    <x v="2"/>
    <n v="1"/>
    <s v="N/A"/>
    <n v="2"/>
    <n v="0.25"/>
    <n v="0"/>
    <n v="0"/>
    <n v="50"/>
    <s v="N/A"/>
    <s v="N/A"/>
    <n v="1800"/>
    <n v="0"/>
    <x v="1"/>
    <n v="1916.1166551724139"/>
  </r>
  <r>
    <x v="60"/>
    <x v="1"/>
    <x v="2"/>
    <x v="13"/>
    <x v="60"/>
    <x v="3"/>
    <n v="52"/>
    <s v="N/A"/>
    <n v="0.25"/>
    <n v="0.25"/>
    <n v="0"/>
    <n v="0"/>
    <n v="20"/>
    <s v="N/A"/>
    <s v="N/A"/>
    <n v="0"/>
    <n v="0"/>
    <x v="1"/>
    <n v="1657.0660689655172"/>
  </r>
  <r>
    <x v="61"/>
    <x v="1"/>
    <x v="2"/>
    <x v="13"/>
    <x v="61"/>
    <x v="6"/>
    <n v="365"/>
    <s v="N/A"/>
    <n v="0.25"/>
    <n v="0.25"/>
    <n v="0"/>
    <n v="0"/>
    <n v="5"/>
    <s v="N/A"/>
    <s v="N/A"/>
    <n v="0"/>
    <n v="0"/>
    <x v="1"/>
    <n v="6156.3291379310349"/>
  </r>
  <r>
    <x v="62"/>
    <x v="1"/>
    <x v="2"/>
    <x v="13"/>
    <x v="62"/>
    <x v="7"/>
    <n v="4"/>
    <s v="N/A"/>
    <n v="0.5"/>
    <n v="0.25"/>
    <n v="0"/>
    <n v="0"/>
    <n v="0"/>
    <s v="N/A"/>
    <s v="N/A"/>
    <n v="0"/>
    <n v="0"/>
    <x v="1"/>
    <n v="78.466620689655173"/>
  </r>
  <r>
    <x v="63"/>
    <x v="1"/>
    <x v="2"/>
    <x v="14"/>
    <x v="63"/>
    <x v="15"/>
    <n v="26"/>
    <s v="N/A"/>
    <n v="0.25"/>
    <n v="0.25"/>
    <n v="0"/>
    <n v="0"/>
    <n v="0"/>
    <s v="N/A"/>
    <s v="N/A"/>
    <n v="0"/>
    <n v="0"/>
    <x v="1"/>
    <n v="308.53303448275864"/>
  </r>
  <r>
    <x v="64"/>
    <x v="1"/>
    <x v="4"/>
    <x v="15"/>
    <x v="64"/>
    <x v="0"/>
    <n v="12"/>
    <s v="N/A"/>
    <n v="0.25"/>
    <n v="0"/>
    <n v="0"/>
    <n v="0"/>
    <n v="0"/>
    <s v="N/A"/>
    <s v="N/A"/>
    <n v="0"/>
    <n v="0"/>
    <x v="1"/>
    <n v="93"/>
  </r>
  <r>
    <x v="65"/>
    <x v="1"/>
    <x v="4"/>
    <x v="15"/>
    <x v="65"/>
    <x v="0"/>
    <n v="12"/>
    <s v="N/A"/>
    <n v="0.25"/>
    <n v="0"/>
    <n v="0"/>
    <n v="0"/>
    <n v="0"/>
    <s v="N/A"/>
    <s v="N/A"/>
    <n v="0"/>
    <n v="0"/>
    <x v="1"/>
    <n v="93"/>
  </r>
  <r>
    <x v="66"/>
    <x v="1"/>
    <x v="4"/>
    <x v="14"/>
    <x v="66"/>
    <x v="7"/>
    <n v="4"/>
    <s v="N/A"/>
    <n v="2"/>
    <n v="0"/>
    <n v="0"/>
    <n v="0"/>
    <n v="0"/>
    <s v="N/A"/>
    <s v="N/A"/>
    <n v="0"/>
    <n v="0"/>
    <x v="1"/>
    <n v="248"/>
  </r>
  <r>
    <x v="67"/>
    <x v="1"/>
    <x v="4"/>
    <x v="14"/>
    <x v="67"/>
    <x v="12"/>
    <n v="2"/>
    <s v="N/A"/>
    <n v="2"/>
    <n v="0"/>
    <n v="0"/>
    <n v="0"/>
    <n v="50"/>
    <s v="N/A"/>
    <s v="N/A"/>
    <n v="0"/>
    <n v="0"/>
    <x v="1"/>
    <n v="224"/>
  </r>
  <r>
    <x v="68"/>
    <x v="1"/>
    <x v="4"/>
    <x v="14"/>
    <x v="68"/>
    <x v="12"/>
    <n v="2"/>
    <s v="N/A"/>
    <n v="1.5"/>
    <n v="0"/>
    <n v="0"/>
    <n v="0"/>
    <n v="50"/>
    <s v="N/A"/>
    <s v="N/A"/>
    <n v="0"/>
    <n v="0"/>
    <x v="1"/>
    <n v="193"/>
  </r>
  <r>
    <x v="69"/>
    <x v="1"/>
    <x v="4"/>
    <x v="14"/>
    <x v="69"/>
    <x v="12"/>
    <n v="2"/>
    <s v="N/A"/>
    <n v="2"/>
    <n v="0"/>
    <n v="0"/>
    <n v="0"/>
    <n v="0"/>
    <s v="N/A"/>
    <s v="N/A"/>
    <n v="0"/>
    <n v="0"/>
    <x v="1"/>
    <n v="124"/>
  </r>
  <r>
    <x v="70"/>
    <x v="1"/>
    <x v="2"/>
    <x v="11"/>
    <x v="70"/>
    <x v="2"/>
    <n v="1"/>
    <s v="N/A"/>
    <n v="8"/>
    <n v="1"/>
    <n v="0"/>
    <n v="0"/>
    <n v="0"/>
    <s v="N/A"/>
    <s v="N/A"/>
    <n v="0"/>
    <n v="0"/>
    <x v="1"/>
    <n v="264.4666206896552"/>
  </r>
  <r>
    <x v="71"/>
    <x v="1"/>
    <x v="2"/>
    <x v="11"/>
    <x v="71"/>
    <x v="16"/>
    <n v="256"/>
    <s v="N/A"/>
    <n v="0.25"/>
    <n v="0.25"/>
    <n v="0"/>
    <n v="0"/>
    <n v="0"/>
    <s v="N/A"/>
    <s v="N/A"/>
    <n v="0"/>
    <n v="0"/>
    <x v="1"/>
    <n v="3037.8637241379311"/>
  </r>
  <r>
    <x v="72"/>
    <x v="1"/>
    <x v="2"/>
    <x v="11"/>
    <x v="71"/>
    <x v="7"/>
    <n v="4"/>
    <s v="N/A"/>
    <n v="2"/>
    <n v="1"/>
    <n v="0"/>
    <n v="0"/>
    <n v="10"/>
    <s v="N/A"/>
    <s v="N/A"/>
    <n v="0"/>
    <n v="0"/>
    <x v="1"/>
    <n v="353.86648275862069"/>
  </r>
  <r>
    <x v="73"/>
    <x v="1"/>
    <x v="2"/>
    <x v="11"/>
    <x v="72"/>
    <x v="3"/>
    <n v="40"/>
    <s v="N/A"/>
    <n v="0.25"/>
    <n v="0.25"/>
    <n v="0"/>
    <n v="0"/>
    <n v="0"/>
    <s v="N/A"/>
    <s v="N/A"/>
    <n v="0"/>
    <n v="0"/>
    <x v="1"/>
    <n v="474.66620689655173"/>
  </r>
  <r>
    <x v="74"/>
    <x v="1"/>
    <x v="2"/>
    <x v="11"/>
    <x v="73"/>
    <x v="0"/>
    <n v="8"/>
    <s v="N/A"/>
    <n v="0.5"/>
    <n v="0.5"/>
    <n v="0"/>
    <n v="0"/>
    <n v="0"/>
    <s v="N/A"/>
    <s v="N/A"/>
    <n v="0"/>
    <n v="0"/>
    <x v="1"/>
    <n v="189.86648275862069"/>
  </r>
  <r>
    <x v="75"/>
    <x v="1"/>
    <x v="2"/>
    <x v="11"/>
    <x v="74"/>
    <x v="7"/>
    <n v="4"/>
    <s v="N/A"/>
    <n v="2"/>
    <n v="1"/>
    <n v="0"/>
    <n v="0"/>
    <n v="0"/>
    <s v="N/A"/>
    <s v="N/A"/>
    <n v="0"/>
    <n v="0"/>
    <x v="1"/>
    <n v="313.86648275862069"/>
  </r>
  <r>
    <x v="76"/>
    <x v="1"/>
    <x v="2"/>
    <x v="11"/>
    <x v="75"/>
    <x v="0"/>
    <n v="12"/>
    <s v="N/A"/>
    <n v="2"/>
    <n v="1"/>
    <n v="0"/>
    <n v="0"/>
    <n v="25"/>
    <s v="N/A"/>
    <s v="N/A"/>
    <n v="0"/>
    <n v="0"/>
    <x v="1"/>
    <n v="1241.599448275862"/>
  </r>
  <r>
    <x v="77"/>
    <x v="1"/>
    <x v="2"/>
    <x v="11"/>
    <x v="76"/>
    <x v="12"/>
    <n v="2"/>
    <s v="N/A"/>
    <n v="1"/>
    <n v="1"/>
    <n v="0"/>
    <n v="0"/>
    <n v="25"/>
    <s v="N/A"/>
    <s v="N/A"/>
    <n v="0"/>
    <n v="0"/>
    <x v="1"/>
    <n v="144.9332413793103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8">
  <r>
    <s v="NAT-SM-001"/>
    <m/>
    <s v="Hwy 100 "/>
    <m/>
    <m/>
    <s v="200mm Asbestos Concrete"/>
    <s v="SANITARY"/>
    <s v="Collection"/>
    <x v="0"/>
    <s v="AC"/>
    <s v="200"/>
    <n v="5000"/>
    <d v="1983-01-01T00:00:00"/>
    <s v="Good"/>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r>
    <m/>
    <m/>
    <m/>
    <m/>
    <m/>
    <m/>
    <m/>
    <m/>
    <x v="1"/>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
  <r>
    <s v="NAT-WT-001"/>
    <m/>
    <s v="Water Treatment Plant Access Rd."/>
    <s v="WATER"/>
    <s v="Distribution"/>
    <x v="0"/>
    <m/>
    <m/>
    <s v="m3/s"/>
    <n v="1999"/>
    <s v="Good"/>
  </r>
  <r>
    <s v="NAT-ST-001"/>
    <m/>
    <s v="Front Street"/>
    <s v="WATER"/>
    <s v="Distribution"/>
    <x v="1"/>
    <s v="Duplex"/>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r>
    <m/>
    <m/>
    <m/>
    <m/>
    <m/>
    <x v="2"/>
    <m/>
    <m/>
    <s v=" "/>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r>
    <x v="0"/>
    <x v="0"/>
    <x v="0"/>
    <s v=" "/>
    <s v=" "/>
    <e v="#N/A"/>
    <e v="#N/A"/>
    <s v=" "/>
    <s v=" "/>
    <s v=" "/>
    <s v=" "/>
    <s v=" "/>
    <s v=" "/>
    <s v="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A45DF23-F75E-49D5-A0CA-7E9A3E3AC972}" name="PivotTable3" cacheId="25" applyNumberFormats="0" applyBorderFormats="0" applyFontFormats="0" applyPatternFormats="0" applyAlignmentFormats="0" applyWidthHeightFormats="1" dataCaption="Values" updatedVersion="7" minRefreshableVersion="3" useAutoFormatting="1" rowGrandTotals="0" itemPrintTitles="1" createdVersion="7" indent="0" outline="1" outlineData="1" multipleFieldFilters="0" rowHeaderCaption="SYSTEM COMPONENT">
  <location ref="P20:Q22" firstHeaderRow="1" firstDataRow="1" firstDataCol="1"/>
  <pivotFields count="11">
    <pivotField showAll="0"/>
    <pivotField showAll="0"/>
    <pivotField showAll="0"/>
    <pivotField dataField="1" showAll="0"/>
    <pivotField showAll="0"/>
    <pivotField axis="axisRow" showAll="0">
      <items count="14">
        <item m="1" x="5"/>
        <item m="1" x="8"/>
        <item h="1" x="2"/>
        <item m="1" x="11"/>
        <item m="1" x="10"/>
        <item m="1" x="4"/>
        <item m="1" x="7"/>
        <item m="1" x="12"/>
        <item m="1" x="9"/>
        <item m="1" x="3"/>
        <item m="1" x="6"/>
        <item x="0"/>
        <item x="1"/>
        <item t="default"/>
      </items>
    </pivotField>
    <pivotField showAll="0"/>
    <pivotField showAll="0"/>
    <pivotField showAll="0"/>
    <pivotField showAll="0"/>
    <pivotField showAll="0"/>
  </pivotFields>
  <rowFields count="1">
    <field x="5"/>
  </rowFields>
  <rowItems count="2">
    <i>
      <x v="11"/>
    </i>
    <i>
      <x v="12"/>
    </i>
  </rowItems>
  <colItems count="1">
    <i/>
  </colItems>
  <dataFields count="1">
    <dataField name="QUANTITY" fld="3" subtotal="count" baseField="0" baseItem="0"/>
  </dataFields>
  <formats count="20">
    <format dxfId="198">
      <pivotArea field="5" type="button" dataOnly="0" labelOnly="1" outline="0" axis="axisRow" fieldPosition="0"/>
    </format>
    <format dxfId="197">
      <pivotArea field="5" type="button" dataOnly="0" labelOnly="1" outline="0" axis="axisRow" fieldPosition="0"/>
    </format>
    <format dxfId="196">
      <pivotArea dataOnly="0" labelOnly="1" outline="0" axis="axisValues" fieldPosition="0"/>
    </format>
    <format dxfId="195">
      <pivotArea field="5" type="button" dataOnly="0" labelOnly="1" outline="0" axis="axisRow" fieldPosition="0"/>
    </format>
    <format dxfId="194">
      <pivotArea dataOnly="0" labelOnly="1" outline="0" axis="axisValues" fieldPosition="0"/>
    </format>
    <format dxfId="193">
      <pivotArea type="all" dataOnly="0" outline="0" fieldPosition="0"/>
    </format>
    <format dxfId="192">
      <pivotArea outline="0" collapsedLevelsAreSubtotals="1" fieldPosition="0"/>
    </format>
    <format dxfId="191">
      <pivotArea field="5" type="button" dataOnly="0" labelOnly="1" outline="0" axis="axisRow" fieldPosition="0"/>
    </format>
    <format dxfId="190">
      <pivotArea dataOnly="0" labelOnly="1" fieldPosition="0">
        <references count="1">
          <reference field="5" count="0"/>
        </references>
      </pivotArea>
    </format>
    <format dxfId="189">
      <pivotArea dataOnly="0" labelOnly="1" outline="0" axis="axisValues" fieldPosition="0"/>
    </format>
    <format dxfId="188">
      <pivotArea type="all" dataOnly="0" outline="0" fieldPosition="0"/>
    </format>
    <format dxfId="187">
      <pivotArea outline="0" collapsedLevelsAreSubtotals="1" fieldPosition="0"/>
    </format>
    <format dxfId="186">
      <pivotArea field="5" type="button" dataOnly="0" labelOnly="1" outline="0" axis="axisRow" fieldPosition="0"/>
    </format>
    <format dxfId="185">
      <pivotArea dataOnly="0" labelOnly="1" fieldPosition="0">
        <references count="1">
          <reference field="5" count="0"/>
        </references>
      </pivotArea>
    </format>
    <format dxfId="184">
      <pivotArea dataOnly="0" labelOnly="1" outline="0" axis="axisValues" fieldPosition="0"/>
    </format>
    <format dxfId="183">
      <pivotArea type="all" dataOnly="0" outline="0" fieldPosition="0"/>
    </format>
    <format dxfId="182">
      <pivotArea outline="0" collapsedLevelsAreSubtotals="1" fieldPosition="0"/>
    </format>
    <format dxfId="181">
      <pivotArea field="5" type="button" dataOnly="0" labelOnly="1" outline="0" axis="axisRow" fieldPosition="0"/>
    </format>
    <format dxfId="180">
      <pivotArea dataOnly="0" labelOnly="1" fieldPosition="0">
        <references count="1">
          <reference field="5" count="0"/>
        </references>
      </pivotArea>
    </format>
    <format dxfId="179">
      <pivotArea dataOnly="0" labelOnly="1" outline="0" axis="axisValues" fieldPosition="0"/>
    </format>
  </formats>
  <pivotTableStyleInfo name="PivotStyleDark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2F7A020-4DFA-4BE5-8048-78E95452B5B2}" name="Sanitary Main Length" cacheId="24"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D4:E6" firstHeaderRow="1" firstDataRow="1" firstDataCol="1"/>
  <pivotFields count="14">
    <pivotField showAll="0"/>
    <pivotField showAll="0"/>
    <pivotField showAll="0"/>
    <pivotField showAll="0"/>
    <pivotField showAll="0"/>
    <pivotField showAll="0"/>
    <pivotField showAll="0"/>
    <pivotField showAll="0"/>
    <pivotField axis="axisRow" showAll="0">
      <items count="4">
        <item m="1" x="2"/>
        <item x="0"/>
        <item h="1" x="1"/>
        <item t="default"/>
      </items>
    </pivotField>
    <pivotField showAll="0"/>
    <pivotField showAll="0"/>
    <pivotField dataField="1" showAll="0"/>
    <pivotField showAll="0"/>
    <pivotField showAll="0"/>
  </pivotFields>
  <rowFields count="1">
    <field x="8"/>
  </rowFields>
  <rowItems count="2">
    <i>
      <x v="1"/>
    </i>
    <i t="grand">
      <x/>
    </i>
  </rowItems>
  <colItems count="1">
    <i/>
  </colItems>
  <dataFields count="1">
    <dataField name="Sum of LENGTH (m)" fld="11" baseField="0" baseItem="0"/>
  </dataFields>
  <formats count="1">
    <format dxfId="164">
      <pivotArea collapsedLevelsAreSubtotals="1" fieldPosition="0">
        <references count="1">
          <reference field="8"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65E08A1-D39F-4248-ADBC-DAF9ECC9CB09}" name="PivotTable1" cacheId="23" applyNumberFormats="0" applyBorderFormats="0" applyFontFormats="0" applyPatternFormats="0" applyAlignmentFormats="0" applyWidthHeightFormats="1" dataCaption="Values" updatedVersion="7" minRefreshableVersion="3" showDrill="0" useAutoFormatting="1" rowGrandTotals="0" colGrandTotals="0" itemPrintTitles="1" createdVersion="7" indent="0" compact="0" compactData="0" multipleFieldFilters="0">
  <location ref="A12:E37" firstHeaderRow="1" firstDataRow="1" firstDataCol="5" rowPageCount="1" colPageCount="1"/>
  <pivotFields count="19">
    <pivotField name="TASK CODE" axis="axisRow" compact="0" outline="0" showAll="0" defaultSubtotal="0">
      <items count="80">
        <item x="25"/>
        <item x="26"/>
        <item x="27"/>
        <item x="46"/>
        <item x="47"/>
        <item x="40"/>
        <item x="41"/>
        <item x="42"/>
        <item x="43"/>
        <item x="44"/>
        <item x="45"/>
        <item x="33"/>
        <item x="34"/>
        <item x="35"/>
        <item x="36"/>
        <item x="37"/>
        <item x="38"/>
        <item x="39"/>
        <item x="48"/>
        <item x="49"/>
        <item x="50"/>
        <item x="51"/>
        <item x="52"/>
        <item x="53"/>
        <item x="54"/>
        <item x="55"/>
        <item x="56"/>
        <item x="57"/>
        <item x="58"/>
        <item x="59"/>
        <item x="60"/>
        <item x="61"/>
        <item x="62"/>
        <item x="63"/>
        <item x="64"/>
        <item x="65"/>
        <item x="66"/>
        <item x="67"/>
        <item x="68"/>
        <item x="69"/>
        <item x="0"/>
        <item x="1"/>
        <item x="2"/>
        <item x="3"/>
        <item x="4"/>
        <item x="5"/>
        <item x="6"/>
        <item x="7"/>
        <item x="8"/>
        <item x="9"/>
        <item x="10"/>
        <item x="11"/>
        <item m="1" x="79"/>
        <item x="12"/>
        <item x="13"/>
        <item x="28"/>
        <item x="29"/>
        <item x="30"/>
        <item x="31"/>
        <item x="32"/>
        <item x="14"/>
        <item x="15"/>
        <item x="16"/>
        <item x="17"/>
        <item m="1" x="78"/>
        <item x="18"/>
        <item x="19"/>
        <item x="20"/>
        <item x="21"/>
        <item x="22"/>
        <item x="23"/>
        <item x="24"/>
        <item x="70"/>
        <item x="71"/>
        <item x="72"/>
        <item x="73"/>
        <item x="74"/>
        <item x="75"/>
        <item x="76"/>
        <item x="77"/>
      </items>
    </pivotField>
    <pivotField axis="axisRow" compact="0" outline="0" showAll="0" sortType="descending" defaultSubtotal="0">
      <items count="3">
        <item x="0"/>
        <item x="1"/>
        <item x="2"/>
      </items>
    </pivotField>
    <pivotField axis="axisRow" compact="0" outline="0" showAll="0" sortType="ascending" defaultSubtotal="0">
      <items count="6">
        <item x="4"/>
        <item x="0"/>
        <item x="5"/>
        <item x="3"/>
        <item x="1"/>
        <item x="2"/>
      </items>
    </pivotField>
    <pivotField compact="0" outline="0" showAll="0" defaultSubtotal="0"/>
    <pivotField axis="axisRow" compact="0" outline="0" showAll="0" defaultSubtotal="0">
      <items count="80">
        <item x="13"/>
        <item x="38"/>
        <item x="27"/>
        <item x="59"/>
        <item x="55"/>
        <item x="37"/>
        <item x="23"/>
        <item x="16"/>
        <item x="31"/>
        <item x="39"/>
        <item x="33"/>
        <item x="1"/>
        <item x="48"/>
        <item x="52"/>
        <item x="35"/>
        <item x="58"/>
        <item x="8"/>
        <item x="14"/>
        <item x="60"/>
        <item x="0"/>
        <item x="9"/>
        <item x="61"/>
        <item x="63"/>
        <item x="47"/>
        <item x="3"/>
        <item x="12"/>
        <item x="11"/>
        <item m="1" x="77"/>
        <item x="44"/>
        <item x="41"/>
        <item x="42"/>
        <item x="43"/>
        <item x="40"/>
        <item x="34"/>
        <item x="26"/>
        <item x="46"/>
        <item x="22"/>
        <item x="64"/>
        <item x="29"/>
        <item x="49"/>
        <item m="1" x="78"/>
        <item x="65"/>
        <item x="62"/>
        <item x="24"/>
        <item x="5"/>
        <item x="4"/>
        <item x="45"/>
        <item x="66"/>
        <item x="15"/>
        <item x="30"/>
        <item x="56"/>
        <item x="57"/>
        <item x="69"/>
        <item x="68"/>
        <item x="67"/>
        <item x="50"/>
        <item x="53"/>
        <item x="32"/>
        <item x="36"/>
        <item x="10"/>
        <item x="17"/>
        <item x="19"/>
        <item x="20"/>
        <item x="18"/>
        <item m="1" x="79"/>
        <item x="2"/>
        <item x="7"/>
        <item x="54"/>
        <item x="21"/>
        <item x="28"/>
        <item x="25"/>
        <item x="6"/>
        <item x="70"/>
        <item x="71"/>
        <item x="72"/>
        <item x="73"/>
        <item x="74"/>
        <item x="75"/>
        <item x="76"/>
        <item x="51"/>
      </items>
    </pivotField>
    <pivotField axis="axisRow" compact="0" outline="0" showAll="0" defaultSubtotal="0">
      <items count="19">
        <item x="5"/>
        <item x="8"/>
        <item x="2"/>
        <item x="4"/>
        <item x="13"/>
        <item x="15"/>
        <item x="6"/>
        <item x="11"/>
        <item x="10"/>
        <item x="14"/>
        <item x="9"/>
        <item x="0"/>
        <item x="7"/>
        <item x="12"/>
        <item m="1" x="17"/>
        <item x="3"/>
        <item x="16"/>
        <item x="1"/>
        <item m="1" x="18"/>
      </items>
    </pivotField>
    <pivotField compact="0" outline="0" showAll="0" defaultSubtotal="0"/>
    <pivotField compact="0" outline="0" showAll="0" defaultSubtotal="0"/>
    <pivotField compact="0" numFmtId="164"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44" outline="0" showAll="0" defaultSubtotal="0"/>
    <pivotField axis="axisPage" compact="0" outline="0" multipleItemSelectionAllowed="1" showAll="0" defaultSubtotal="0">
      <items count="3">
        <item h="1" x="1"/>
        <item x="0"/>
        <item h="1" m="1" x="2"/>
      </items>
    </pivotField>
    <pivotField compact="0" numFmtId="165" outline="0" subtotalTop="0" showAll="0" defaultSubtotal="0"/>
  </pivotFields>
  <rowFields count="5">
    <field x="1"/>
    <field x="2"/>
    <field x="0"/>
    <field x="4"/>
    <field x="5"/>
  </rowFields>
  <rowItems count="25">
    <i>
      <x/>
      <x v="1"/>
      <x/>
      <x v="70"/>
      <x v="15"/>
    </i>
    <i r="2">
      <x v="1"/>
      <x v="34"/>
      <x v="11"/>
    </i>
    <i r="2">
      <x v="2"/>
      <x v="2"/>
      <x v="2"/>
    </i>
    <i r="2">
      <x v="40"/>
      <x v="19"/>
      <x v="11"/>
    </i>
    <i r="2">
      <x v="41"/>
      <x v="11"/>
      <x v="17"/>
    </i>
    <i r="2">
      <x v="42"/>
      <x v="65"/>
      <x v="2"/>
    </i>
    <i r="2">
      <x v="43"/>
      <x v="24"/>
      <x v="2"/>
    </i>
    <i r="2">
      <x v="46"/>
      <x v="71"/>
      <x v="3"/>
    </i>
    <i r="2">
      <x v="47"/>
      <x v="66"/>
      <x v="3"/>
    </i>
    <i r="2">
      <x v="48"/>
      <x v="16"/>
      <x v="3"/>
    </i>
    <i r="2">
      <x v="49"/>
      <x v="20"/>
      <x/>
    </i>
    <i r="2">
      <x v="50"/>
      <x v="59"/>
      <x v="3"/>
    </i>
    <i r="2">
      <x v="51"/>
      <x v="26"/>
      <x v="3"/>
    </i>
    <i r="2">
      <x v="53"/>
      <x v="25"/>
      <x v="3"/>
    </i>
    <i>
      <x v="1"/>
      <x/>
      <x v="5"/>
      <x v="32"/>
      <x v="15"/>
    </i>
    <i r="2">
      <x v="6"/>
      <x v="29"/>
      <x v="11"/>
    </i>
    <i r="2">
      <x v="7"/>
      <x v="30"/>
      <x v="12"/>
    </i>
    <i r="2">
      <x v="8"/>
      <x v="31"/>
      <x v="13"/>
    </i>
    <i r="2">
      <x v="9"/>
      <x v="28"/>
      <x v="2"/>
    </i>
    <i r="2">
      <x v="10"/>
      <x v="46"/>
      <x v="2"/>
    </i>
    <i r="2">
      <x v="11"/>
      <x v="10"/>
      <x v="2"/>
    </i>
    <i r="2">
      <x v="12"/>
      <x v="33"/>
      <x v="8"/>
    </i>
    <i r="2">
      <x v="13"/>
      <x v="14"/>
      <x v="7"/>
    </i>
    <i r="2">
      <x v="14"/>
      <x v="58"/>
      <x v="3"/>
    </i>
    <i r="2">
      <x v="15"/>
      <x v="5"/>
      <x v="2"/>
    </i>
  </rowItems>
  <colItems count="1">
    <i/>
  </colItems>
  <pageFields count="1">
    <pageField fld="17" hier="-1"/>
  </pageField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6C7506E0-25DB-4C10-B508-E9BF08D19918}" name="PivotTable1" cacheId="31" applyNumberFormats="0" applyBorderFormats="0" applyFontFormats="0" applyPatternFormats="0" applyAlignmentFormats="0" applyWidthHeightFormats="1" dataCaption="Values" updatedVersion="8" minRefreshableVersion="3" useAutoFormatting="1" itemPrintTitles="1" createdVersion="7" indent="0" compact="0" compactData="0" multipleFieldFilters="0">
  <location ref="A11:D15" firstHeaderRow="1" firstDataRow="1" firstDataCol="3"/>
  <pivotFields count="17">
    <pivotField axis="axisRow" compact="0" outline="0" showAll="0">
      <items count="51">
        <item m="1" x="49"/>
        <item m="1" x="47"/>
        <item m="1" x="41"/>
        <item m="1" x="35"/>
        <item m="1" x="27"/>
        <item m="1" x="24"/>
        <item m="1" x="26"/>
        <item m="1" x="29"/>
        <item m="1" x="30"/>
        <item m="1" x="8"/>
        <item m="1" x="3"/>
        <item m="1" x="1"/>
        <item m="1" x="48"/>
        <item m="1" x="46"/>
        <item m="1" x="39"/>
        <item m="1" x="34"/>
        <item m="1" x="28"/>
        <item m="1" x="22"/>
        <item m="1" x="15"/>
        <item m="1" x="10"/>
        <item m="1" x="4"/>
        <item m="1" x="2"/>
        <item m="1" x="5"/>
        <item m="1" x="7"/>
        <item m="1" x="9"/>
        <item m="1" x="11"/>
        <item m="1" x="31"/>
        <item m="1" x="23"/>
        <item m="1" x="18"/>
        <item m="1" x="12"/>
        <item m="1" x="6"/>
        <item m="1" x="44"/>
        <item m="1" x="38"/>
        <item m="1" x="33"/>
        <item m="1" x="25"/>
        <item m="1" x="20"/>
        <item m="1" x="45"/>
        <item m="1" x="13"/>
        <item m="1" x="14"/>
        <item m="1" x="16"/>
        <item m="1" x="17"/>
        <item m="1" x="19"/>
        <item m="1" x="36"/>
        <item m="1" x="37"/>
        <item m="1" x="40"/>
        <item m="1" x="42"/>
        <item m="1" x="43"/>
        <item m="1" x="21"/>
        <item m="1" x="32"/>
        <item x="0"/>
        <item t="default"/>
      </items>
    </pivotField>
    <pivotField axis="axisRow" compact="0" outline="0" showAll="0">
      <items count="5">
        <item m="1" x="1"/>
        <item m="1" x="2"/>
        <item m="1" x="3"/>
        <item x="0"/>
        <item t="default"/>
      </items>
    </pivotField>
    <pivotField axis="axisRow" compact="0" outline="0" showAll="0">
      <items count="12">
        <item m="1" x="3"/>
        <item m="1" x="1"/>
        <item m="1" x="9"/>
        <item m="1" x="7"/>
        <item m="1" x="4"/>
        <item m="1" x="8"/>
        <item m="1" x="10"/>
        <item m="1" x="6"/>
        <item m="1" x="5"/>
        <item m="1" x="2"/>
        <item x="0"/>
        <item t="default"/>
      </items>
    </pivotField>
    <pivotField compact="0" outline="0" showAll="0"/>
    <pivotField compact="0" outline="0" showAll="0"/>
    <pivotField compact="0" outline="0" showAll="0"/>
    <pivotField compact="0" outline="0" showAll="0"/>
    <pivotField compact="0" numFmtId="1" outline="0" showAll="0"/>
    <pivotField compact="0" numFmtId="1" outline="0" showAll="0"/>
    <pivotField compact="0" numFmtId="44" outline="0" showAll="0"/>
    <pivotField compact="0" numFmtId="44" outline="0" showAll="0"/>
    <pivotField compact="0" numFmtId="44" outline="0" showAll="0"/>
    <pivotField compact="0" numFmtId="44" outline="0" showAll="0"/>
    <pivotField dataField="1" compact="0" numFmtId="44" outline="0" showAl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3">
    <field x="1"/>
    <field x="2"/>
    <field x="0"/>
  </rowFields>
  <rowItems count="4">
    <i>
      <x v="3"/>
      <x v="10"/>
      <x v="49"/>
    </i>
    <i t="default" r="1">
      <x v="10"/>
    </i>
    <i t="default">
      <x v="3"/>
    </i>
    <i t="grand">
      <x/>
    </i>
  </rowItems>
  <colItems count="1">
    <i/>
  </colItems>
  <dataFields count="1">
    <dataField name="Sum of Annual Budget" fld="13" baseField="0" baseItem="0" numFmtId="167"/>
  </dataFields>
  <formats count="9">
    <format dxfId="8">
      <pivotArea field="1" type="button" dataOnly="0" labelOnly="1" outline="0" axis="axisRow" fieldPosition="0"/>
    </format>
    <format dxfId="7">
      <pivotArea dataOnly="0" outline="0" axis="axisValues" fieldPosition="0"/>
    </format>
    <format dxfId="6">
      <pivotArea outline="0" fieldPosition="0">
        <references count="1">
          <reference field="4294967294" count="1">
            <x v="0"/>
          </reference>
        </references>
      </pivotArea>
    </format>
    <format dxfId="5">
      <pivotArea field="1" type="button" dataOnly="0" labelOnly="1" outline="0" axis="axisRow" fieldPosition="0"/>
    </format>
    <format dxfId="4">
      <pivotArea field="2" type="button" dataOnly="0" labelOnly="1" outline="0" axis="axisRow" fieldPosition="1"/>
    </format>
    <format dxfId="3">
      <pivotArea field="0" type="button" dataOnly="0" labelOnly="1" outline="0" axis="axisRow" fieldPosition="2"/>
    </format>
    <format dxfId="2">
      <pivotArea dataOnly="0" labelOnly="1" outline="0" axis="axisValues" fieldPosition="0"/>
    </format>
    <format dxfId="1">
      <pivotArea dataOnly="0" labelOnly="1" outline="0" fieldPosition="0">
        <references count="1">
          <reference field="1" count="1">
            <x v="0"/>
          </reference>
        </references>
      </pivotArea>
    </format>
    <format dxfId="0">
      <pivotArea dataOnly="0" labelOnly="1" outline="0" fieldPosition="0">
        <references count="1">
          <reference field="1" count="1">
            <x v="1"/>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48C256B-458A-4B7E-843F-793BCB1A8878}" name="PivotTable5" cacheId="23"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location ref="A3:D8" firstHeaderRow="1" firstDataRow="1" firstDataCol="3" rowPageCount="1" colPageCount="1"/>
  <pivotFields count="19">
    <pivotField axis="axisRow" compact="0" outline="0" showAll="0" defaultSubtotal="0">
      <items count="80">
        <item x="25"/>
        <item x="26"/>
        <item x="27"/>
        <item x="46"/>
        <item x="47"/>
        <item x="40"/>
        <item x="41"/>
        <item x="42"/>
        <item x="43"/>
        <item x="44"/>
        <item x="45"/>
        <item x="33"/>
        <item x="34"/>
        <item x="35"/>
        <item x="36"/>
        <item x="37"/>
        <item x="38"/>
        <item x="39"/>
        <item x="48"/>
        <item x="49"/>
        <item x="50"/>
        <item x="51"/>
        <item x="52"/>
        <item x="53"/>
        <item x="54"/>
        <item x="55"/>
        <item x="56"/>
        <item x="57"/>
        <item x="58"/>
        <item x="59"/>
        <item x="60"/>
        <item x="61"/>
        <item x="62"/>
        <item x="63"/>
        <item x="64"/>
        <item x="65"/>
        <item x="66"/>
        <item x="67"/>
        <item x="68"/>
        <item x="69"/>
        <item x="70"/>
        <item x="71"/>
        <item x="72"/>
        <item x="73"/>
        <item x="74"/>
        <item x="75"/>
        <item x="76"/>
        <item x="77"/>
        <item x="0"/>
        <item x="1"/>
        <item x="2"/>
        <item x="3"/>
        <item x="4"/>
        <item x="5"/>
        <item x="6"/>
        <item x="7"/>
        <item x="8"/>
        <item x="9"/>
        <item x="10"/>
        <item x="11"/>
        <item m="1" x="79"/>
        <item x="12"/>
        <item x="13"/>
        <item x="28"/>
        <item x="29"/>
        <item x="30"/>
        <item x="31"/>
        <item x="32"/>
        <item x="14"/>
        <item x="15"/>
        <item x="16"/>
        <item x="17"/>
        <item m="1" x="78"/>
        <item x="18"/>
        <item x="19"/>
        <item x="20"/>
        <item x="21"/>
        <item x="22"/>
        <item x="23"/>
        <item x="24"/>
      </items>
    </pivotField>
    <pivotField axis="axisRow" compact="0" outline="0" showAll="0" defaultSubtotal="0">
      <items count="3">
        <item x="2"/>
        <item x="1"/>
        <item x="0"/>
      </items>
    </pivotField>
    <pivotField compact="0" outline="0" showAll="0" defaultSubtotal="0"/>
    <pivotField axis="axisRow" compact="0" outline="0" showAll="0" defaultSubtotal="0">
      <items count="16">
        <item sd="0" x="8"/>
        <item sd="0" x="7"/>
        <item sd="0" x="10"/>
        <item sd="0" x="4"/>
        <item sd="0" x="1"/>
        <item sd="0" x="12"/>
        <item sd="0" x="6"/>
        <item sd="0" x="11"/>
        <item sd="0" x="9"/>
        <item sd="0" x="0"/>
        <item sd="0" x="5"/>
        <item sd="0" x="13"/>
        <item sd="0" x="2"/>
        <item sd="0" x="3"/>
        <item x="14"/>
        <item x="15"/>
      </items>
    </pivotField>
    <pivotField compact="0" outline="0" showAll="0" defaultSubtotal="0"/>
    <pivotField compact="0" outline="0" showAll="0" defaultSubtotal="0"/>
    <pivotField compact="0" outline="0" showAll="0" defaultSubtotal="0"/>
    <pivotField compact="0" outline="0" showAll="0" defaultSubtotal="0"/>
    <pivotField compact="0" numFmtId="164" outline="0" showAll="0" defaultSubtotal="0"/>
    <pivotField compact="0" numFmtId="2" outline="0" showAll="0" defaultSubtotal="0"/>
    <pivotField compact="0" numFmtId="44"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44" outline="0" showAll="0" defaultSubtotal="0"/>
    <pivotField compact="0" numFmtId="44" outline="0" showAll="0" defaultSubtotal="0"/>
    <pivotField axis="axisPage" compact="0" outline="0" multipleItemSelectionAllowed="1" showAll="0" defaultSubtotal="0">
      <items count="3">
        <item h="1" x="1"/>
        <item x="0"/>
        <item m="1" x="2"/>
      </items>
    </pivotField>
    <pivotField dataField="1" compact="0" numFmtId="165" outline="0" subtotalTop="0" showAll="0" defaultSubtotal="0"/>
  </pivotFields>
  <rowFields count="3">
    <field x="1"/>
    <field x="3"/>
    <field x="0"/>
  </rowFields>
  <rowItems count="5">
    <i>
      <x v="1"/>
      <x v="6"/>
    </i>
    <i r="1">
      <x v="8"/>
    </i>
    <i r="1">
      <x v="9"/>
    </i>
    <i>
      <x v="2"/>
      <x v="3"/>
    </i>
    <i r="1">
      <x v="9"/>
    </i>
  </rowItems>
  <colItems count="1">
    <i/>
  </colItems>
  <pageFields count="1">
    <pageField fld="17" hier="-1"/>
  </pageFields>
  <dataFields count="1">
    <dataField name="Annual Budget per Unit" fld="18" baseField="3" baseItem="2" numFmtId="44"/>
  </dataField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COMPONENT" xr10:uid="{66FB2A37-A814-4244-AF45-C0C751242476}" sourceName="ASSET COMPONENT">
  <extLst>
    <x:ext xmlns:x15="http://schemas.microsoft.com/office/spreadsheetml/2010/11/main" uri="{2F2917AC-EB37-4324-AD4E-5DD8C200BD13}">
      <x15:tableSlicerCache tableId="8" column="7"/>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GROUP" xr10:uid="{711F257C-BA15-4F21-8ABC-3ACF86D671C4}" sourceName="ASSET GROUP">
  <extLst>
    <x:ext xmlns:x15="http://schemas.microsoft.com/office/spreadsheetml/2010/11/main" uri="{2F2917AC-EB37-4324-AD4E-5DD8C200BD13}">
      <x15:tableSlicerCache tableId="8"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Component1" xr10:uid="{7BD6F63D-E1C4-4916-A612-7782D68C4F73}" sourceName="Asset Component">
  <extLst>
    <x:ext xmlns:x15="http://schemas.microsoft.com/office/spreadsheetml/2010/11/main" uri="{2F2917AC-EB37-4324-AD4E-5DD8C200BD13}">
      <x15:tableSlicerCache tableId="9" column="10"/>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Group1" xr10:uid="{CB8E97AA-694D-4F53-A86E-4ED4C8188803}" sourceName="Asset Group">
  <extLst>
    <x:ext xmlns:x15="http://schemas.microsoft.com/office/spreadsheetml/2010/11/main" uri="{2F2917AC-EB37-4324-AD4E-5DD8C200BD13}">
      <x15:tableSlicerCache tableId="9" column="1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GROUP2" xr10:uid="{3E495EA7-9BEB-4603-83CF-F4A99A4C1357}" sourceName="ASSET GROUP">
  <extLst>
    <x:ext xmlns:x15="http://schemas.microsoft.com/office/spreadsheetml/2010/11/main" uri="{2F2917AC-EB37-4324-AD4E-5DD8C200BD13}">
      <x15:tableSlicerCache tableId="2" column="62"/>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requency" xr10:uid="{3AD5848A-D355-4B78-9241-3BD1BC486B2F}" sourceName="Frequency">
  <extLst>
    <x:ext xmlns:x15="http://schemas.microsoft.com/office/spreadsheetml/2010/11/main" uri="{2F2917AC-EB37-4324-AD4E-5DD8C200BD13}">
      <x15:tableSlicerCache tableId="2"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SSET GROUP 2" xr10:uid="{3F44E3EC-CC23-4882-9EF6-218AF97303C9}" cache="Slicer_ASSET_GROUP2" caption="ASSET GROUP" style="SlicerStyleDark5" rowHeight="241300"/>
  <slicer name="Frequency" xr10:uid="{9629812F-2D3B-43D4-A82B-FE6ED9CD3134}" cache="Slicer_Frequency" caption="Frequency" columnCount="2" style="SlicerStyleDark5" rowHeight="201168"/>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sset Component 1" xr10:uid="{AF049344-5EC6-45E0-922A-B7694EBDF546}" cache="Slicer_Asset_Component1" caption="Asset Component" style="SlicerStyleDark5" rowHeight="241300"/>
  <slicer name="Asset Group 1" xr10:uid="{F79F0C95-8C9B-4EE6-BCB7-B200EA32A017}" cache="Slicer_Asset_Group1" caption="Asset Group" style="SlicerStyleDark5"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SSET COMPONENT" xr10:uid="{9DF4E902-E322-452C-9B5A-15DE47EC5CF1}" cache="Slicer_ASSET_COMPONENT" caption="ASSET COMPONENT" columnCount="2" style="SlicerStyleDark5" rowHeight="228600"/>
  <slicer name="ASSET GROUP" xr10:uid="{ED3D70B5-0586-4E6C-B0F8-37A22A1CACB2}" cache="Slicer_ASSET_GROUP" caption="ASSET GROUP" style="SlicerStyleDark5"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A9BF483-04E6-42F1-A27C-60A4736F7E97}" name="Watermain_Inventory" displayName="Watermain_Inventory" ref="A11:L44" totalsRowShown="0" headerRowDxfId="178">
  <autoFilter ref="A11:L44" xr:uid="{BBCCAF49-C5B2-42A4-B619-5F6E026888F2}"/>
  <tableColumns count="12">
    <tableColumn id="18" xr3:uid="{12FDD93C-08A9-4FB9-BF8A-1D56C1FB6208}" name="NATION ASSET CODE" dataDxfId="177"/>
    <tableColumn id="16" xr3:uid="{CD088E27-C390-4E80-937E-59856F519909}" name="ICMS ASSET CODE" dataDxfId="176"/>
    <tableColumn id="4" xr3:uid="{D217253B-B753-46EF-B4C4-99A87FEEA693}" name="LOCATION DESCRIPTION" dataDxfId="175"/>
    <tableColumn id="5" xr3:uid="{4257B066-BDE5-4EF1-B19B-9C21639EED57}" name="Notes" dataDxfId="174"/>
    <tableColumn id="2" xr3:uid="{28817245-2111-4A24-B355-F3CDFE488E85}" name="ASSET GROUP" dataDxfId="173"/>
    <tableColumn id="3" xr3:uid="{AC566F79-199F-4F27-9D87-F862C61BD51A}" name="ASSET SUBGROUP" dataDxfId="172"/>
    <tableColumn id="1" xr3:uid="{A4DF57D2-5CEE-4810-847A-E7438E9D164A}" name="ASSET COMPONENT" dataDxfId="171"/>
    <tableColumn id="6" xr3:uid="{CFA7900A-330D-44C1-BB97-9D184D14D441}" name="MATERIAL" dataDxfId="170"/>
    <tableColumn id="8" xr3:uid="{1A94D69F-A831-40CF-BF01-56CC4BB134E8}" name="SIZE" dataDxfId="169"/>
    <tableColumn id="7" xr3:uid="{B599B992-5BEF-4939-B895-A8721B37785E}" name="LENGTH (m)" dataDxfId="168"/>
    <tableColumn id="9" xr3:uid="{3ED3E566-9B2B-4EE3-8498-0358207BA1AE}" name="DATE OF INSTALLATION" dataDxfId="167"/>
    <tableColumn id="10" xr3:uid="{1C204206-FA13-4065-BFBD-1EAA90C044BA}" name="CONDITION" dataDxfId="166" totalsRowDxfId="165"/>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8EC656-06DA-4545-9104-A51EBE483004}" name="Table1356" displayName="Table1356" ref="A11:N49" totalsRowShown="0" headerRowDxfId="163">
  <autoFilter ref="A11:N49" xr:uid="{BBCCAF49-C5B2-42A4-B619-5F6E026888F2}"/>
  <tableColumns count="14">
    <tableColumn id="37" xr3:uid="{79628CC9-2D92-4AB1-924B-E33EB55E50B8}" name="NATION ASSET CODE" dataDxfId="162"/>
    <tableColumn id="36" xr3:uid="{B73F1BF0-EE3F-415A-9EA9-43F3707286DD}" name="ICMS ASSET CODE" dataDxfId="161"/>
    <tableColumn id="35" xr3:uid="{F9CD6155-9C12-480B-B124-EDB4A31E7F42}" name="LOCATION DESCRIPTION" dataDxfId="160"/>
    <tableColumn id="17" xr3:uid="{A0037C57-D23C-42A3-98DA-B4CED4966F6E}" name="MHs" dataDxfId="159"/>
    <tableColumn id="18" xr3:uid="{2AF4F064-503E-41A8-A5CE-AEF40BBF6F97}" name="Drawing Set" dataDxfId="158"/>
    <tableColumn id="19" xr3:uid="{5F9B12EA-AAAD-4A64-8FEF-0B5880024C09}" name="Notes" dataDxfId="157"/>
    <tableColumn id="2" xr3:uid="{4A09EC05-EE6D-4A61-A203-9A54B60888B8}" name="ASSET GROUP" dataDxfId="156"/>
    <tableColumn id="3" xr3:uid="{96AD6AB1-C7C3-4F33-8A66-4E0019BD1AF1}" name="ASSET SUBGROUP" dataDxfId="155"/>
    <tableColumn id="1" xr3:uid="{AD16D33B-7673-4CE8-9423-4D0A6F8A9874}" name="ASSET COMPONENT" dataDxfId="154"/>
    <tableColumn id="6" xr3:uid="{7B08985B-4D3C-4BAF-88BE-385A006EFAB4}" name="MATERIAL" dataDxfId="153"/>
    <tableColumn id="8" xr3:uid="{475B1339-EEBB-4E14-B614-38935E979B1C}" name="SIZE" dataDxfId="152"/>
    <tableColumn id="7" xr3:uid="{8EEF2023-6AB0-4F20-8333-9360B35E6706}" name="LENGTH (m)" dataDxfId="151"/>
    <tableColumn id="9" xr3:uid="{A28C4BAF-DDF6-4EEF-949E-9685B5A11EA3}" name="DATE OF INSTALLATION" dataDxfId="150"/>
    <tableColumn id="10" xr3:uid="{8AFB5D5C-6895-460D-AC5B-03CA9C790189}" name="CONDITION" dataDxfId="149"/>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9938D56-B1B8-44E6-99CF-94DD579212F9}" name="Table13567" displayName="Table13567" ref="A17:K39" totalsRowShown="0" headerRowDxfId="148">
  <autoFilter ref="A17:K39" xr:uid="{BBCCAF49-C5B2-42A4-B619-5F6E026888F2}"/>
  <tableColumns count="11">
    <tableColumn id="16" xr3:uid="{F2B6EA45-45ED-433A-98CE-9BE8277A2AF5}" name="NATION ASSET CODE" dataDxfId="147"/>
    <tableColumn id="7" xr3:uid="{47414CB4-6D72-467B-A997-4FC5253C417D}" name="ICMS ASSET CODE" dataDxfId="146"/>
    <tableColumn id="4" xr3:uid="{C4D333AF-FD95-443D-9467-941C52ABC465}" name="LOCATION DESCRIPTION" dataDxfId="145"/>
    <tableColumn id="2" xr3:uid="{0ECBD86B-B6F4-4944-BD84-B720FD74956E}" name="ASSET GROUP" dataDxfId="144"/>
    <tableColumn id="3" xr3:uid="{FCBC0166-3AB8-40C0-AB1D-56CAF007087C}" name="ASSET SUBGROUP" dataDxfId="143"/>
    <tableColumn id="6" xr3:uid="{80F577D2-0E8E-44D7-B798-B157275E30D5}" name="ASSET COMPONENT" dataDxfId="142"/>
    <tableColumn id="17" xr3:uid="{29BAF4E7-8FAF-43F4-BB5A-4BCD0510D51B}" name="TYPE" dataDxfId="141"/>
    <tableColumn id="8" xr3:uid="{409A7F09-6E0F-4C8E-9149-D26AE74266A1}" name="SIZE " dataDxfId="140"/>
    <tableColumn id="18" xr3:uid="{6EC92D96-B468-40D2-BDFA-BD2F85B171FB}" name="UNIT" dataDxfId="139">
      <calculatedColumnFormula>IFERROR(VLOOKUP(Table13567[[#This Row],[ASSET COMPONENT]],Table10[],3,FALSE), " ")</calculatedColumnFormula>
    </tableColumn>
    <tableColumn id="9" xr3:uid="{B75B4CBE-ACE3-4DB1-BE45-7A80FDC80EFD}" name="DATE OF INSTALLATION" dataDxfId="138"/>
    <tableColumn id="10" xr3:uid="{6A09DD32-43FC-4F22-938A-65F734833059}" name="CONDITION" dataDxfId="137"/>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AFA804-0EC1-485A-A509-2CB71BD6A6BB}" name="Table10" displayName="Table10" ref="F2:H14" totalsRowShown="0">
  <autoFilter ref="F2:H14" xr:uid="{A2AFA804-0EC1-485A-A509-2CB71BD6A6BB}"/>
  <tableColumns count="3">
    <tableColumn id="1" xr3:uid="{89DF0F0E-A41E-4265-A89B-905024FD7531}" name="SYSTEM"/>
    <tableColumn id="2" xr3:uid="{D7AB97CE-A7DC-4C25-BBC0-0F2EE4689557}" name="UNITS" dataDxfId="136"/>
    <tableColumn id="3" xr3:uid="{875CECC3-BBB4-4CD9-B442-BAED011DE5D4}" name="UNITS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539605F-B98A-45BA-8584-772D21C6094C}" name="Table2" displayName="Table2" ref="B21:BL64" totalsRowShown="0" headerRowDxfId="134" tableBorderDxfId="133">
  <autoFilter ref="B21:BL64" xr:uid="{3539605F-B98A-45BA-8584-772D21C6094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autoFilter>
  <tableColumns count="63">
    <tableColumn id="1" xr3:uid="{19D37335-4B7D-4E3B-ADCB-EBC39D23B265}" name="Task Code" dataDxfId="132" totalsRowDxfId="131"/>
    <tableColumn id="62" xr3:uid="{6521C56A-9A28-4E0C-8561-144AB6C232EE}" name="ASSET GROUP" dataDxfId="130" totalsRowDxfId="129">
      <calculatedColumnFormula>IFERROR(VLOOKUP(Table2[[#This Row],[Task Code]],WO_Data_Masterlist[],2,FALSE)," ")</calculatedColumnFormula>
    </tableColumn>
    <tableColumn id="2" xr3:uid="{C53C45BB-4C15-495C-A15B-D6F327F4D5DB}" name="Task Description" dataDxfId="128" totalsRowDxfId="127">
      <calculatedColumnFormula>IFERROR(VLOOKUP(Table2[[#This Row],[Task Code]],WO_Data_Masterlist[],5,FALSE)," ")</calculatedColumnFormula>
    </tableColumn>
    <tableColumn id="5" xr3:uid="{E9F3B262-878F-4933-95D7-2E8FBAE37213}" name="Frequency" dataDxfId="126" totalsRowDxfId="125">
      <calculatedColumnFormula>IFERROR(VLOOKUP(Table2[[#This Row],[Task Code]],WO_Data_Masterlist[],6,FALSE)," ")</calculatedColumnFormula>
    </tableColumn>
    <tableColumn id="3" xr3:uid="{B4913C58-A228-4E3E-B6AD-B72099BB927F}" name="Frequency Data" dataDxfId="124" totalsRowDxfId="123">
      <calculatedColumnFormula>VLOOKUP(Table2[[#This Row],[Task Code]],WO_Data_Masterlist[],7,FALSE)</calculatedColumnFormula>
    </tableColumn>
    <tableColumn id="61" xr3:uid="{9D2FF0B3-BB28-413F-A303-FB14034607FE}" name="Quantity Data" dataDxfId="122" totalsRowDxfId="121">
      <calculatedColumnFormula>IF(VLOOKUP(Table2[[#This Row],[Task Code]],WO_Data_Masterlist[],15,FALSE)="N/A", 1, VLOOKUP(Table2[[#This Row],[Task Code]],WO_Data_Masterlist[],15,FALSE))</calculatedColumnFormula>
    </tableColumn>
    <tableColumn id="4" xr3:uid="{FCC2526D-5427-4287-AF25-033531198ACA}" name="Operator" dataDxfId="120" totalsRowDxfId="119">
      <calculatedColumnFormula>IFERROR(VLOOKUP(Table2[[#This Row],[Task Code]],WO_Data_Masterlist[],9,FALSE)*Table2[[#This Row],[Frequency Data]]*Table2[[#This Row],[Quantity Data]]," ")</calculatedColumnFormula>
    </tableColumn>
    <tableColumn id="59" xr3:uid="{3412E646-21D4-4886-9F87-C1E818166A83}" name="Truck" dataDxfId="118" totalsRowDxfId="117">
      <calculatedColumnFormula>IFERROR(VLOOKUP(Table2[[#This Row],[Task Code]],WO_Data_Masterlist[],10,FALSE)*Table2[[#This Row],[Frequency Data]]*Table2[[#This Row],[Quantity Data]]," ")</calculatedColumnFormula>
    </tableColumn>
    <tableColumn id="6" xr3:uid="{CABFF263-9E7F-445A-97EB-5C4D54D358CB}" name="Contractor" dataDxfId="116" totalsRowDxfId="115" dataCellStyle="Currency">
      <calculatedColumnFormula>VLOOKUP(Table2[[#This Row],[Task Code]],WO_Data_Masterlist[],12,FALSE)*Table2[[#This Row],[Frequency Data]]</calculatedColumnFormula>
    </tableColumn>
    <tableColumn id="7" xr3:uid="{8F6FDEA2-BDDD-4543-AE4C-7A67B4571C7C}" name="1" dataDxfId="114"/>
    <tableColumn id="8" xr3:uid="{7499D151-5B01-498F-9AE4-BD49BD72B109}" name="2" dataDxfId="113"/>
    <tableColumn id="9" xr3:uid="{899C94FF-DFF5-4CB4-BC9F-00B407C3FA55}" name="3" dataDxfId="112"/>
    <tableColumn id="10" xr3:uid="{6951B3C9-9A40-4F91-8EEE-46D201E15567}" name="4" dataDxfId="111"/>
    <tableColumn id="11" xr3:uid="{39091CAA-8985-4042-8AA1-353F203DF433}" name="5" dataDxfId="110"/>
    <tableColumn id="12" xr3:uid="{10946755-59C7-426D-9CF7-2664B75EC67E}" name="6" dataDxfId="109"/>
    <tableColumn id="13" xr3:uid="{86D05FD0-ABF8-4678-A4DC-26FB954131DC}" name="7" dataDxfId="108"/>
    <tableColumn id="14" xr3:uid="{B1A58D95-32E2-48A0-A2D4-ED28DAAF0219}" name="8" dataDxfId="107"/>
    <tableColumn id="15" xr3:uid="{7EEF482D-124F-4B90-869C-6E0D966B1EEC}" name="9" dataDxfId="106"/>
    <tableColumn id="16" xr3:uid="{2FB8BC64-1018-486C-84DA-C85CAA4E0FCD}" name="10" dataDxfId="105"/>
    <tableColumn id="17" xr3:uid="{00DF0D8B-A7B4-42BD-9555-EC0C75FB2BE6}" name="11" dataDxfId="104"/>
    <tableColumn id="18" xr3:uid="{FB458CE0-EB4C-4E7F-AD61-CED4B79664BA}" name="12" dataDxfId="103"/>
    <tableColumn id="19" xr3:uid="{E54A859E-1714-4646-883A-4313E9414EA8}" name="13" dataDxfId="102"/>
    <tableColumn id="20" xr3:uid="{A3510204-FC6C-4E0E-841B-C477B92327EF}" name="14" dataDxfId="101"/>
    <tableColumn id="21" xr3:uid="{DBB9F190-B28F-464A-9F13-AB4101C25F98}" name="15" dataDxfId="100"/>
    <tableColumn id="22" xr3:uid="{77CE2C53-A3F1-44DF-B24C-EA289B6B29FD}" name="16" dataDxfId="99"/>
    <tableColumn id="23" xr3:uid="{1B149221-184D-4CA0-B65C-D53562BD389F}" name="17" dataDxfId="98"/>
    <tableColumn id="24" xr3:uid="{C110B2C8-AD67-490A-96C1-A01AA54BD78C}" name="18" dataDxfId="97"/>
    <tableColumn id="25" xr3:uid="{47D8B705-A9CE-4ACD-AE1A-76F8DD4354DA}" name="19" dataDxfId="96"/>
    <tableColumn id="26" xr3:uid="{2A30150D-8750-46FE-8377-DFADCD20C36F}" name="20" dataDxfId="95"/>
    <tableColumn id="27" xr3:uid="{612C9500-EC5B-40D1-8DFF-BE319CDCE01F}" name="21" dataDxfId="94"/>
    <tableColumn id="28" xr3:uid="{6A2E48D8-1C8E-4F6D-BF0C-053E74DCA092}" name="22" dataDxfId="93"/>
    <tableColumn id="29" xr3:uid="{A322C46B-935C-4155-8E18-156AD305893B}" name="23" dataDxfId="92"/>
    <tableColumn id="30" xr3:uid="{B86F7601-BB5D-421C-A23B-602FC164BD03}" name="24" dataDxfId="91"/>
    <tableColumn id="31" xr3:uid="{80DB6D68-BD47-4851-BD21-EE969973A212}" name="25" dataDxfId="90"/>
    <tableColumn id="32" xr3:uid="{998E0162-AAC8-4E5C-9AFB-9113FCEBA093}" name="26" dataDxfId="89"/>
    <tableColumn id="33" xr3:uid="{117E8377-2568-4BD8-AC9E-11AFA6C291A9}" name="27" dataDxfId="88"/>
    <tableColumn id="34" xr3:uid="{3F8E5682-93E9-4945-A21D-6F4CEE222D8F}" name="28" dataDxfId="87"/>
    <tableColumn id="35" xr3:uid="{B58CAA74-256C-4D84-88FB-80B666D48971}" name="29" dataDxfId="86"/>
    <tableColumn id="36" xr3:uid="{257762DE-CEB8-499E-B028-D37A5BF4B621}" name="30" dataDxfId="85"/>
    <tableColumn id="37" xr3:uid="{FDDF0A7D-88A2-411D-8131-634324CEAA16}" name="31" dataDxfId="84"/>
    <tableColumn id="38" xr3:uid="{49D44BE1-6415-465E-83EC-8E22534068E4}" name="32" dataDxfId="83"/>
    <tableColumn id="39" xr3:uid="{2F5A3585-9A72-4DEC-9900-D80BA26E5DED}" name="33" dataDxfId="82"/>
    <tableColumn id="40" xr3:uid="{B9776325-933F-450F-8089-9339D12A1233}" name="34" dataDxfId="81"/>
    <tableColumn id="41" xr3:uid="{F49A433A-FCCD-4D35-A6F0-3B554D36C5FA}" name="35" dataDxfId="80"/>
    <tableColumn id="42" xr3:uid="{4C9446ED-B348-4F2A-90DD-48B051D37D88}" name="36" dataDxfId="79"/>
    <tableColumn id="43" xr3:uid="{7C43CC82-78DF-47F4-93F4-8127B041FEB5}" name="37" dataDxfId="78"/>
    <tableColumn id="44" xr3:uid="{0CB0B1F9-BF84-43E7-AEAB-8B2B86F6FA04}" name="38" dataDxfId="77"/>
    <tableColumn id="45" xr3:uid="{5C4CA9A7-645B-485C-9703-14D252AE76D2}" name="39" dataDxfId="76"/>
    <tableColumn id="46" xr3:uid="{5F643DD5-34D4-4D04-B163-457D0C4C7359}" name="40" dataDxfId="75"/>
    <tableColumn id="47" xr3:uid="{84DC32EA-4940-4695-96B7-0B5B4DA95534}" name="41" dataDxfId="74"/>
    <tableColumn id="48" xr3:uid="{5EA1A9BD-6DC6-433C-9678-453FD9B7920E}" name="42" dataDxfId="73"/>
    <tableColumn id="49" xr3:uid="{CE5BAB41-6369-4E6F-B707-138755D796A8}" name="43" dataDxfId="72"/>
    <tableColumn id="50" xr3:uid="{C1A1BBC8-86E2-4018-95B5-E4EA369E2F7F}" name="44" dataDxfId="71"/>
    <tableColumn id="51" xr3:uid="{573C97E7-BBC8-42AE-B025-13A57BB58E6B}" name="45" dataDxfId="70"/>
    <tableColumn id="52" xr3:uid="{35BD05A5-DE01-4D11-B9F0-4083D60E895D}" name="46" dataDxfId="69"/>
    <tableColumn id="53" xr3:uid="{D14ED22A-E99F-43F6-96EE-CBEB436BE307}" name="47" dataDxfId="68"/>
    <tableColumn id="54" xr3:uid="{00DBE40A-5619-43E5-BE03-3844F064D855}" name="48" dataDxfId="67"/>
    <tableColumn id="55" xr3:uid="{B05C52B9-AFFB-4D55-BBF8-F8CCA94C9BAE}" name="49" dataDxfId="66"/>
    <tableColumn id="56" xr3:uid="{DEB772FA-5D86-4264-A3A6-83923E8C73D5}" name="50" dataDxfId="65"/>
    <tableColumn id="57" xr3:uid="{6DB29547-227D-4168-9B72-58B2F2DDD6D0}" name="51" dataDxfId="64"/>
    <tableColumn id="58" xr3:uid="{AB9E7423-AF37-4A34-A048-85BEA089FD17}" name="52" dataDxfId="63"/>
    <tableColumn id="60" xr3:uid="{8AF12811-CEC9-4718-8E7B-2C1478796853}" name="N/A" dataDxfId="62" totalsRowDxfId="61">
      <calculatedColumnFormula>IF(Table2[[#This Row],[Operator]]=0,VLOOKUP(Table2[[#This Row],[Task Code]],WO_Data_Masterlist[],9,FALSE)," ")</calculatedColumnFormula>
    </tableColumn>
    <tableColumn id="67" xr3:uid="{758A766B-DAE2-4A17-8154-6F189148E580}" name="check" dataDxfId="60">
      <calculatedColumnFormula>SUM(Table2[[#This Row],[1]:[N/A]])</calculatedColumnFormula>
    </tableColumn>
  </tableColumns>
  <tableStyleInfo name="TableStyleLight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F4C0A28-D24B-4407-B14A-B0728531FEB1}" name="Table210" displayName="Table210" ref="B18:O61" totalsRowShown="0" headerRowDxfId="59" tableBorderDxfId="58">
  <autoFilter ref="B18:O61" xr:uid="{3539605F-B98A-45BA-8584-772D21C6094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115DB7E-2402-4096-BAA6-6B842AA8007B}" name="Task Code" dataDxfId="57" totalsRowDxfId="56"/>
    <tableColumn id="11" xr3:uid="{154BF58A-B234-4322-8D00-D58A52CC6F46}" name="Asset Group" dataDxfId="55" totalsRowDxfId="54">
      <calculatedColumnFormula>IFERROR(VLOOKUP(Table210[[#This Row],[Task Code]],WO_Data_Masterlist[],2,FALSE)," ")</calculatedColumnFormula>
    </tableColumn>
    <tableColumn id="10" xr3:uid="{32306ACF-B985-4CCC-BFC3-EABA0BD71BD6}" name="Asset Component" dataDxfId="53" totalsRowDxfId="52">
      <calculatedColumnFormula>IFERROR(VLOOKUP(Table210[[#This Row],[Task Code]],WO_Data_Masterlist[],4,FALSE)," ")</calculatedColumnFormula>
    </tableColumn>
    <tableColumn id="2" xr3:uid="{3F617FC7-1E33-4EA8-B5FF-024EAE063B24}" name="Task Description" dataDxfId="51" totalsRowDxfId="50">
      <calculatedColumnFormula>IFERROR(VLOOKUP(Table210[[#This Row],[Task Code]],WO_Data_Masterlist[],5,FALSE)," ")</calculatedColumnFormula>
    </tableColumn>
    <tableColumn id="3" xr3:uid="{646D7390-97EF-4DF3-992C-B4C88FB95F6D}" name="Frequency" dataDxfId="49" totalsRowDxfId="48">
      <calculatedColumnFormula>IFERROR(VLOOKUP(Table210[[#This Row],[Task Code]],WO_Data_Masterlist[],6,FALSE)," ")</calculatedColumnFormula>
    </tableColumn>
    <tableColumn id="5" xr3:uid="{D89978E8-9C25-4A97-9C31-70238C54CD07}" name="Frequency Data" dataDxfId="47" totalsRowDxfId="46">
      <calculatedColumnFormula>VLOOKUP(Table210[[#This Row],[Task Code]],WO_Data_Masterlist[],7,FALSE)</calculatedColumnFormula>
    </tableColumn>
    <tableColumn id="14" xr3:uid="{98359658-DCBC-4D0E-A42A-A9D3CB9B0377}" name="Quantity2" dataDxfId="45" totalsRowDxfId="44">
      <calculatedColumnFormula>IF(VLOOKUP(Table210[[#This Row],[Task Code]],WO_Data_Masterlist[],15,FALSE)="N/A",1,VLOOKUP(Table210[[#This Row],[Task Code]],WO_Data_Masterlist[],15,FALSE))</calculatedColumnFormula>
    </tableColumn>
    <tableColumn id="4" xr3:uid="{B1DD59C7-3620-461F-B356-358EDAF4CC5F}" name="Operator" dataDxfId="43" totalsRowDxfId="42">
      <calculatedColumnFormula>IFERROR(VLOOKUP(Table210[[#This Row],[Task Code]],WO_Data_Masterlist[],9,FALSE)*Table210[[#This Row],[Frequency Data]]*Table210[[#This Row],[Quantity2]]," ")</calculatedColumnFormula>
    </tableColumn>
    <tableColumn id="59" xr3:uid="{3C789C29-CED3-48AA-AE50-D98370FFE736}" name="Truck" dataDxfId="41" totalsRowDxfId="40">
      <calculatedColumnFormula>IFERROR(VLOOKUP(Table210[[#This Row],[Task Code]],WO_Data_Masterlist[],10,FALSE)*Table210[[#This Row],[Frequency Data]]*Table210[[#This Row],[Quantity2]]," ")</calculatedColumnFormula>
    </tableColumn>
    <tableColumn id="6" xr3:uid="{AB07B6CE-17A7-4D25-BCCC-2974DEF47C09}" name="Contractor" dataDxfId="39" totalsRowDxfId="38" dataCellStyle="Currency">
      <calculatedColumnFormula>IFERROR(VLOOKUP(Table210[[#This Row],[Task Code]],WO_Data_Masterlist[],11,FALSE)," ")</calculatedColumnFormula>
    </tableColumn>
    <tableColumn id="7" xr3:uid="{1059E150-99F0-4AC8-88E2-8809AA26B71F}" name="Equipment" dataDxfId="37" totalsRowDxfId="36" dataCellStyle="Currency">
      <calculatedColumnFormula>IFERROR(VLOOKUP(Table210[[#This Row],[Task Code]],WO_Data_Masterlist[],12,FALSE)," ")</calculatedColumnFormula>
    </tableColumn>
    <tableColumn id="8" xr3:uid="{8747B253-C55B-4E8A-A9BB-615C2A0442EA}" name="Parts &amp; Materials" dataDxfId="35" totalsRowDxfId="34" dataCellStyle="Currency">
      <calculatedColumnFormula>IFERROR(VLOOKUP(Table210[[#This Row],[Task Code]],WO_Data_Masterlist[],13,FALSE)," ")</calculatedColumnFormula>
    </tableColumn>
    <tableColumn id="13" xr3:uid="{BDD1B5D5-27D3-48FC-A0BA-1BF294F28EA3}" name="Annual Energy Cost" dataDxfId="33" totalsRowDxfId="32" dataCellStyle="Currency">
      <calculatedColumnFormula>IFERROR(VLOOKUP(Table210[[#This Row],[Task Code]],WO_Data_Masterlist[],17,FALSE)," ")</calculatedColumnFormula>
    </tableColumn>
    <tableColumn id="9" xr3:uid="{A1865F8A-B8C9-43CA-BC3E-E1C24BA5D98B}" name="Annual Budget" dataDxfId="31" totalsRowDxfId="30">
      <calculatedColumnFormula>IFERROR(((Table210[[#This Row],[Operator]]*$O$3)+(Table210[[#This Row],[Truck]]*$O$4)+(((Table210[[#This Row],[Contractor]]+Table210[[#This Row],[Equipment]]+Table210[[#This Row],[Parts &amp; Materials]])*Table210[[#This Row],[Quantity2]])*Table210[[#This Row],[Frequency Data]]))+Table210[[#This Row],[Annual Energy Cost]]," ")</calculatedColumnFormula>
    </tableColumn>
  </tableColumns>
  <tableStyleInfo name="TableStyleLight1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CDEA067-B55D-45BE-AB87-7A48A6346DDB}" name="WO_Data_Masterlist" displayName="WO_Data_Masterlist" ref="A17:S95" totalsRowShown="0" headerRowDxfId="29" dataDxfId="28">
  <autoFilter ref="A17:S95" xr:uid="{BBCCAF49-C5B2-42A4-B619-5F6E026888F2}"/>
  <tableColumns count="19">
    <tableColumn id="1" xr3:uid="{89C28808-06DF-48C3-9E0F-B3A470DFBCB3}" name="WORK ORDER" dataDxfId="27">
      <calculatedColumnFormula>LEFT(WO_Data_Masterlist[[#This Row],[ASSET GROUP]],1)&amp;LEFT(WO_Data_Masterlist[[#This Row],[ASSET SUBGROUP]],1)&amp;#REF!&amp;WO_Data_Masterlist[[#This Row],[TASK DESCRIPTION]]</calculatedColumnFormula>
    </tableColumn>
    <tableColumn id="2" xr3:uid="{42A975CD-09A4-4559-94DC-4A075C04745C}" name="ASSET GROUP" dataDxfId="26"/>
    <tableColumn id="3" xr3:uid="{944BC590-8D1C-4BCA-8A09-E0176F653CB4}" name="ASSET SUBGROUP" dataDxfId="25"/>
    <tableColumn id="7" xr3:uid="{3394FF51-E52A-47E9-B4A8-7D231DE31120}" name="ASSET COMPONENT" dataDxfId="24"/>
    <tableColumn id="8" xr3:uid="{E9CC721E-8112-4EA9-ACC2-09C0DCD1B47C}" name="TASK DESCRIPTION" dataDxfId="23"/>
    <tableColumn id="10" xr3:uid="{F44CF608-A088-4885-B18E-F84883AA17BD}" name="FREQUENCY" dataDxfId="22"/>
    <tableColumn id="9" xr3:uid="{1ABCBCA0-F41D-4CAF-B85A-8ED4912D0AF0}" name="FREQUENCY (TIMES PER YEAR)" dataDxfId="21"/>
    <tableColumn id="14" xr3:uid="{9946A8F0-2168-43A3-92C6-C825B8CAFF2E}" name="CONTRACTOR COST / UNIT" dataDxfId="20"/>
    <tableColumn id="11" xr3:uid="{BE992328-4C8D-443E-92CA-6D24DDF4B9AF}" name="OPERATOR HOURS per TASK" dataDxfId="19"/>
    <tableColumn id="4" xr3:uid="{0B2FE50A-D51A-416B-9C5A-455926E2DBCB}" name="TRUCK HOURS" dataDxfId="18"/>
    <tableColumn id="12" xr3:uid="{125C366E-1CFE-46E5-8CC7-761618FC05E0}" name="CONTRACTOR COST" dataDxfId="17" dataCellStyle="Currency"/>
    <tableColumn id="5" xr3:uid="{681337D9-7371-4B5E-8628-9BA7E7B5CA7D}" name="EQUIPMENT" dataDxfId="16" dataCellStyle="Currency"/>
    <tableColumn id="6" xr3:uid="{C1ACCEE5-CA35-439B-B927-FD6D8948FC1D}" name="PARTS AND MATERIALS" dataDxfId="15" dataCellStyle="Currency"/>
    <tableColumn id="19" xr3:uid="{82E0E576-41EA-4654-82BB-1D4055341959}" name="QUANTITY LINEAR INFRASTRUCTURE" dataDxfId="14" dataCellStyle="Currency"/>
    <tableColumn id="16" xr3:uid="{5E61676B-9E19-4EEC-8C47-932D362670E7}" name="QUANTITY NON-LINEAR INFRASTRUCTURE" dataDxfId="13" dataCellStyle="Currency">
      <calculatedColumnFormula>IFERROR(GETPIVOTDATA("ASSET GROUP",'TABLE OF CONTENTS'!$P$20,"ASSET COMPONENT",WO_Data_Masterlist[[#This Row],[ASSET COMPONENT]]), "N/A")</calculatedColumnFormula>
    </tableColumn>
    <tableColumn id="17" xr3:uid="{7CAF43B0-56A4-4C40-A784-B1A72B16799B}" name="ANNUAL ENERGY PER UNIT" dataDxfId="12" dataCellStyle="Currency"/>
    <tableColumn id="18" xr3:uid="{5451313C-8102-4006-9DCA-EF18C22EC57A}" name="TOTAL ANNUAL ENERGY COSTS" dataDxfId="11" dataCellStyle="Currency">
      <calculatedColumnFormula>IFERROR(WO_Data_Masterlist[[#This Row],[ANNUAL ENERGY PER UNIT]]*WO_Data_Masterlist[[#This Row],[QUANTITY NON-LINEAR INFRASTRUCTURE]], 0)</calculatedColumnFormula>
    </tableColumn>
    <tableColumn id="13" xr3:uid="{370E9657-F0F5-495B-AB44-56855483BD48}" name="WO Required? " dataDxfId="10">
      <calculatedColumnFormula>IF(SUM(WO_Data_Masterlist[[#This Row],[QUANTITY LINEAR INFRASTRUCTURE]:[QUANTITY NON-LINEAR INFRASTRUCTURE]])&gt;0, "YES", "NO")</calculatedColumnFormula>
    </tableColumn>
    <tableColumn id="15" xr3:uid="{9DEE28ED-9E23-451D-810F-D0D6BA4391E9}" name="ANNUAL COST PER UNIT" dataDxfId="9">
      <calculatedColumnFormula>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calculatedColumnFormula>
    </tableColumn>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microsoft.com/office/2007/relationships/slicer" Target="../slicers/slicer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microsoft.com/office/2007/relationships/slicer" Target="../slicers/slicer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microsoft.com/office/2007/relationships/slicer" Target="../slicers/slicer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ivotTable" Target="../pivotTables/pivotTable4.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81F6A-2027-467D-A4FD-BA7792662C72}">
  <dimension ref="A1:W52"/>
  <sheetViews>
    <sheetView tabSelected="1" zoomScale="75" zoomScaleNormal="75" workbookViewId="0">
      <selection activeCell="P35" sqref="P35"/>
    </sheetView>
  </sheetViews>
  <sheetFormatPr defaultRowHeight="15" x14ac:dyDescent="0.25"/>
  <cols>
    <col min="9" max="9" width="4.28515625" style="24" customWidth="1"/>
    <col min="10" max="10" width="27.28515625" customWidth="1"/>
    <col min="11" max="11" width="11.7109375" customWidth="1"/>
    <col min="12" max="12" width="4.7109375" customWidth="1"/>
    <col min="13" max="13" width="28" customWidth="1"/>
    <col min="14" max="14" width="11.28515625" style="24" customWidth="1"/>
    <col min="15" max="15" width="8.85546875" style="24" customWidth="1"/>
    <col min="16" max="16" width="23.42578125" style="24" bestFit="1" customWidth="1"/>
    <col min="17" max="17" width="10.42578125" style="24" bestFit="1" customWidth="1"/>
    <col min="18" max="18" width="9.42578125" style="24" customWidth="1"/>
    <col min="19" max="19" width="11.28515625" style="24" customWidth="1"/>
    <col min="22" max="22" width="20.42578125" bestFit="1" customWidth="1"/>
    <col min="23" max="23" width="13.140625" bestFit="1" customWidth="1"/>
    <col min="24" max="24" width="13" bestFit="1" customWidth="1"/>
    <col min="26" max="26" width="11.42578125" bestFit="1" customWidth="1"/>
  </cols>
  <sheetData>
    <row r="1" spans="1:19" s="24" customFormat="1" ht="15.75" thickBot="1" x14ac:dyDescent="0.3"/>
    <row r="2" spans="1:19" x14ac:dyDescent="0.25">
      <c r="I2" s="220"/>
      <c r="J2" s="221"/>
      <c r="K2" s="221"/>
      <c r="L2" s="221"/>
      <c r="M2" s="221"/>
      <c r="N2" s="221"/>
      <c r="O2" s="221"/>
      <c r="P2" s="221"/>
      <c r="Q2" s="221"/>
      <c r="R2" s="222"/>
    </row>
    <row r="3" spans="1:19" x14ac:dyDescent="0.25">
      <c r="I3" s="12"/>
      <c r="J3" s="13"/>
      <c r="K3" s="223" t="s">
        <v>370</v>
      </c>
      <c r="L3" s="13"/>
      <c r="M3" s="99" t="s">
        <v>374</v>
      </c>
      <c r="N3" s="13"/>
      <c r="O3" s="13"/>
      <c r="P3" s="13"/>
      <c r="Q3" s="13"/>
      <c r="R3" s="14"/>
    </row>
    <row r="4" spans="1:19" x14ac:dyDescent="0.25">
      <c r="I4" s="12"/>
      <c r="J4" s="13"/>
      <c r="K4" s="224" t="s">
        <v>371</v>
      </c>
      <c r="L4" s="13"/>
      <c r="M4" s="99" t="s">
        <v>375</v>
      </c>
      <c r="N4" s="13"/>
      <c r="O4" s="13"/>
      <c r="P4" s="13"/>
      <c r="Q4" s="13"/>
      <c r="R4" s="14"/>
    </row>
    <row r="5" spans="1:19" x14ac:dyDescent="0.25">
      <c r="I5" s="12"/>
      <c r="J5" s="13"/>
      <c r="K5" s="255" t="s">
        <v>372</v>
      </c>
      <c r="L5" s="13"/>
      <c r="M5" s="99" t="s">
        <v>440</v>
      </c>
      <c r="N5" s="13"/>
      <c r="O5" s="13"/>
      <c r="P5" s="13"/>
      <c r="Q5" s="13"/>
      <c r="R5" s="14"/>
    </row>
    <row r="6" spans="1:19" ht="15.75" thickBot="1" x14ac:dyDescent="0.3">
      <c r="I6" s="15"/>
      <c r="J6" s="16"/>
      <c r="K6" s="16"/>
      <c r="L6" s="16"/>
      <c r="M6" s="16"/>
      <c r="N6" s="16"/>
      <c r="O6" s="16"/>
      <c r="P6" s="16"/>
      <c r="Q6" s="16"/>
      <c r="R6" s="17"/>
    </row>
    <row r="9" spans="1:19" ht="15.75" thickBot="1" x14ac:dyDescent="0.3"/>
    <row r="10" spans="1:19" ht="24.75" customHeight="1" x14ac:dyDescent="0.25">
      <c r="A10" s="18"/>
      <c r="B10" s="19" t="s">
        <v>128</v>
      </c>
      <c r="C10" s="19"/>
      <c r="D10" s="19"/>
      <c r="E10" s="19"/>
      <c r="F10" s="19"/>
      <c r="G10" s="20"/>
      <c r="I10" s="415" t="s">
        <v>129</v>
      </c>
      <c r="J10" s="416"/>
      <c r="K10" s="416"/>
      <c r="L10" s="416"/>
      <c r="M10" s="417"/>
      <c r="N10" s="197"/>
      <c r="O10" s="418" t="s">
        <v>278</v>
      </c>
      <c r="P10" s="419"/>
      <c r="Q10" s="419"/>
      <c r="R10" s="420"/>
      <c r="S10" s="197"/>
    </row>
    <row r="11" spans="1:19" s="24" customFormat="1" ht="15" customHeight="1" x14ac:dyDescent="0.25">
      <c r="A11" s="199"/>
      <c r="B11" s="200"/>
      <c r="C11" s="200"/>
      <c r="D11" s="200"/>
      <c r="E11" s="200"/>
      <c r="F11" s="200"/>
      <c r="G11" s="201"/>
      <c r="I11" s="198"/>
      <c r="J11" s="217"/>
      <c r="K11" s="217"/>
      <c r="L11" s="217"/>
      <c r="M11" s="218"/>
      <c r="N11" s="197"/>
      <c r="O11" s="242"/>
      <c r="P11" s="243"/>
      <c r="Q11" s="243"/>
      <c r="R11" s="244"/>
      <c r="S11" s="197"/>
    </row>
    <row r="12" spans="1:19" s="24" customFormat="1" x14ac:dyDescent="0.25">
      <c r="A12" s="12"/>
      <c r="B12" s="99" t="s">
        <v>273</v>
      </c>
      <c r="C12" s="13"/>
      <c r="D12" s="13"/>
      <c r="E12" s="13"/>
      <c r="F12" s="13"/>
      <c r="G12" s="14"/>
      <c r="I12" s="12"/>
      <c r="J12" s="13"/>
      <c r="K12" s="13"/>
      <c r="L12" s="13"/>
      <c r="M12" s="14"/>
      <c r="N12" s="25"/>
      <c r="O12" s="125"/>
      <c r="P12" s="25"/>
      <c r="Q12" s="25"/>
      <c r="R12" s="131"/>
      <c r="S12" s="25"/>
    </row>
    <row r="13" spans="1:19" x14ac:dyDescent="0.25">
      <c r="A13" s="12">
        <v>1</v>
      </c>
      <c r="B13" s="23" t="s">
        <v>120</v>
      </c>
      <c r="C13" s="13"/>
      <c r="D13" s="13"/>
      <c r="E13" s="13"/>
      <c r="F13" s="13"/>
      <c r="G13" s="14"/>
      <c r="I13" s="21"/>
      <c r="J13" s="194" t="s">
        <v>122</v>
      </c>
      <c r="K13" s="203">
        <v>2022</v>
      </c>
      <c r="L13" s="13"/>
      <c r="M13" s="14"/>
      <c r="N13" s="25"/>
      <c r="O13" s="125"/>
      <c r="P13" s="256" t="s">
        <v>357</v>
      </c>
      <c r="Q13" s="281">
        <f>SUM(Watermain_Inventory[LENGTH (m)])/1000</f>
        <v>10</v>
      </c>
      <c r="R13" s="131" t="s">
        <v>233</v>
      </c>
      <c r="S13" s="25"/>
    </row>
    <row r="14" spans="1:19" x14ac:dyDescent="0.25">
      <c r="A14" s="12">
        <v>2</v>
      </c>
      <c r="B14" s="23" t="s">
        <v>121</v>
      </c>
      <c r="C14" s="13"/>
      <c r="D14" s="13"/>
      <c r="E14" s="13"/>
      <c r="F14" s="13"/>
      <c r="G14" s="14"/>
      <c r="I14" s="21"/>
      <c r="J14" s="194" t="s">
        <v>123</v>
      </c>
      <c r="K14" s="134">
        <v>1.2</v>
      </c>
      <c r="L14" s="13"/>
      <c r="M14" s="14"/>
      <c r="N14" s="25"/>
      <c r="O14" s="125"/>
      <c r="P14" s="256" t="s">
        <v>358</v>
      </c>
      <c r="Q14" s="281">
        <f>IFERROR(GETPIVOTDATA("LENGTH (m)",'2. ASSET INVENTORY - SANI MAIN'!$D$4,"ASSET COMPONENT","Main")/1000,0)</f>
        <v>5</v>
      </c>
      <c r="R14" s="131" t="s">
        <v>233</v>
      </c>
      <c r="S14" s="25"/>
    </row>
    <row r="15" spans="1:19" x14ac:dyDescent="0.25">
      <c r="A15" s="12">
        <v>3</v>
      </c>
      <c r="B15" s="23" t="s">
        <v>392</v>
      </c>
      <c r="C15" s="13"/>
      <c r="D15" s="13"/>
      <c r="E15" s="13"/>
      <c r="F15" s="13"/>
      <c r="G15" s="14"/>
      <c r="I15" s="21"/>
      <c r="J15" s="194" t="s">
        <v>124</v>
      </c>
      <c r="K15" s="204">
        <v>31</v>
      </c>
      <c r="L15" s="13" t="s">
        <v>386</v>
      </c>
      <c r="M15" s="240" t="s">
        <v>420</v>
      </c>
      <c r="N15" s="25"/>
      <c r="O15" s="125"/>
      <c r="P15" s="256" t="s">
        <v>477</v>
      </c>
      <c r="Q15" s="281">
        <f>IFERROR(GETPIVOTDATA("LENGTH (m)",'2. ASSET INVENTORY - SANI MAIN'!$D$4,"ASSET COMPONENT","Forcemain")/1000,0)</f>
        <v>0</v>
      </c>
      <c r="R15" s="131" t="s">
        <v>233</v>
      </c>
      <c r="S15" s="25"/>
    </row>
    <row r="16" spans="1:19" x14ac:dyDescent="0.25">
      <c r="A16" s="12"/>
      <c r="B16" s="23"/>
      <c r="C16" s="13"/>
      <c r="D16" s="13"/>
      <c r="E16" s="13"/>
      <c r="F16" s="13"/>
      <c r="G16" s="14"/>
      <c r="I16" s="21"/>
      <c r="J16" s="194" t="s">
        <v>143</v>
      </c>
      <c r="K16" s="204">
        <f>(K38+(K37*12)+(K39*K40*(52/2)))/K41</f>
        <v>16.466620689655173</v>
      </c>
      <c r="L16" s="229" t="s">
        <v>386</v>
      </c>
      <c r="M16" s="240" t="s">
        <v>421</v>
      </c>
      <c r="N16" s="25"/>
      <c r="O16" s="125"/>
      <c r="P16" s="256" t="s">
        <v>383</v>
      </c>
      <c r="Q16" s="233">
        <f>K32</f>
        <v>50</v>
      </c>
      <c r="R16" s="131"/>
      <c r="S16" s="25"/>
    </row>
    <row r="17" spans="1:19" s="24" customFormat="1" x14ac:dyDescent="0.25">
      <c r="A17" s="12"/>
      <c r="B17" s="23"/>
      <c r="C17" s="13"/>
      <c r="D17" s="13"/>
      <c r="E17" s="13"/>
      <c r="F17" s="13"/>
      <c r="G17" s="14"/>
      <c r="I17" s="21"/>
      <c r="J17" s="194" t="s">
        <v>282</v>
      </c>
      <c r="K17" s="204">
        <v>24</v>
      </c>
      <c r="L17" s="13" t="s">
        <v>386</v>
      </c>
      <c r="M17" s="240" t="s">
        <v>420</v>
      </c>
      <c r="N17" s="25"/>
      <c r="O17" s="125"/>
      <c r="P17" s="256" t="s">
        <v>384</v>
      </c>
      <c r="Q17" s="233">
        <f>K33</f>
        <v>120</v>
      </c>
      <c r="R17" s="131"/>
      <c r="S17" s="25"/>
    </row>
    <row r="18" spans="1:19" x14ac:dyDescent="0.25">
      <c r="A18" s="12"/>
      <c r="B18" s="99" t="s">
        <v>272</v>
      </c>
      <c r="C18" s="13"/>
      <c r="D18" s="13"/>
      <c r="E18" s="13"/>
      <c r="F18" s="13"/>
      <c r="G18" s="14"/>
      <c r="I18" s="21"/>
      <c r="J18" s="194" t="s">
        <v>466</v>
      </c>
      <c r="K18" s="135">
        <v>25</v>
      </c>
      <c r="L18" s="317" t="s">
        <v>504</v>
      </c>
      <c r="M18" s="14"/>
      <c r="N18" s="25"/>
      <c r="O18" s="125"/>
      <c r="P18" s="256" t="s">
        <v>385</v>
      </c>
      <c r="Q18" s="233">
        <f>K34</f>
        <v>70</v>
      </c>
      <c r="R18" s="131"/>
      <c r="S18" s="25"/>
    </row>
    <row r="19" spans="1:19" s="24" customFormat="1" ht="15.75" thickBot="1" x14ac:dyDescent="0.3">
      <c r="A19" s="12">
        <v>4</v>
      </c>
      <c r="B19" s="110" t="s">
        <v>505</v>
      </c>
      <c r="C19" s="110"/>
      <c r="D19" s="110"/>
      <c r="E19" s="13"/>
      <c r="F19" s="13"/>
      <c r="G19" s="14"/>
      <c r="I19" s="21"/>
      <c r="J19" s="194"/>
      <c r="K19" s="316"/>
      <c r="L19" s="13"/>
      <c r="M19" s="14"/>
      <c r="N19" s="25"/>
      <c r="O19" s="125"/>
      <c r="P19" s="25"/>
      <c r="Q19" s="25"/>
      <c r="R19" s="131"/>
      <c r="S19" s="25"/>
    </row>
    <row r="20" spans="1:19" ht="15.75" thickBot="1" x14ac:dyDescent="0.3">
      <c r="A20" s="12">
        <v>5</v>
      </c>
      <c r="B20" s="23" t="s">
        <v>126</v>
      </c>
      <c r="C20" s="13"/>
      <c r="D20" s="13"/>
      <c r="E20" s="13"/>
      <c r="F20" s="13"/>
      <c r="G20" s="14"/>
      <c r="I20" s="12"/>
      <c r="J20" s="194"/>
      <c r="K20" s="316"/>
      <c r="L20" s="13"/>
      <c r="M20" s="14"/>
      <c r="N20" s="25"/>
      <c r="O20" s="125"/>
      <c r="P20" s="232" t="s">
        <v>360</v>
      </c>
      <c r="Q20" s="232" t="s">
        <v>359</v>
      </c>
      <c r="R20" s="131"/>
      <c r="S20" s="25"/>
    </row>
    <row r="21" spans="1:19" ht="15" customHeight="1" thickBot="1" x14ac:dyDescent="0.3">
      <c r="A21" s="12">
        <v>6</v>
      </c>
      <c r="B21" s="23" t="s">
        <v>127</v>
      </c>
      <c r="C21" s="13"/>
      <c r="D21" s="13"/>
      <c r="E21" s="13"/>
      <c r="F21" s="13"/>
      <c r="G21" s="14"/>
      <c r="I21" s="198"/>
      <c r="J21" s="413"/>
      <c r="K21" s="413"/>
      <c r="L21" s="413"/>
      <c r="M21" s="414"/>
      <c r="N21" s="197"/>
      <c r="O21" s="210"/>
      <c r="P21" s="390" t="s">
        <v>104</v>
      </c>
      <c r="Q21" s="392">
        <v>1</v>
      </c>
      <c r="R21" s="131"/>
    </row>
    <row r="22" spans="1:19" ht="17.25" customHeight="1" thickBot="1" x14ac:dyDescent="0.3">
      <c r="A22" s="12"/>
      <c r="B22" s="13"/>
      <c r="C22" s="13"/>
      <c r="D22" s="13"/>
      <c r="E22" s="13"/>
      <c r="F22" s="13"/>
      <c r="G22" s="14"/>
      <c r="I22" s="415" t="s">
        <v>230</v>
      </c>
      <c r="J22" s="416"/>
      <c r="K22" s="416"/>
      <c r="L22" s="416"/>
      <c r="M22" s="417"/>
      <c r="N22" s="25"/>
      <c r="O22" s="125"/>
      <c r="P22" s="391" t="s">
        <v>398</v>
      </c>
      <c r="Q22" s="393">
        <v>1</v>
      </c>
      <c r="R22" s="131"/>
    </row>
    <row r="23" spans="1:19" x14ac:dyDescent="0.25">
      <c r="A23" s="12"/>
      <c r="B23" s="99"/>
      <c r="C23" s="13"/>
      <c r="D23" s="13"/>
      <c r="E23" s="13"/>
      <c r="F23" s="13"/>
      <c r="G23" s="14"/>
      <c r="I23" s="136"/>
      <c r="J23" s="195"/>
      <c r="K23" s="195"/>
      <c r="L23" s="195"/>
      <c r="M23" s="14"/>
      <c r="N23" s="25"/>
      <c r="O23" s="125"/>
      <c r="P23"/>
      <c r="Q23"/>
      <c r="R23" s="131"/>
    </row>
    <row r="24" spans="1:19" x14ac:dyDescent="0.25">
      <c r="A24" s="21"/>
      <c r="B24" s="99" t="s">
        <v>274</v>
      </c>
      <c r="C24" s="13"/>
      <c r="D24" s="13"/>
      <c r="E24" s="13"/>
      <c r="F24" s="13"/>
      <c r="G24" s="14"/>
      <c r="I24" s="21"/>
      <c r="J24" s="194"/>
      <c r="K24" s="194"/>
      <c r="L24" s="194"/>
      <c r="M24" s="14"/>
      <c r="N24" s="25"/>
      <c r="O24" s="125"/>
      <c r="P24"/>
      <c r="Q24"/>
      <c r="R24" s="131"/>
    </row>
    <row r="25" spans="1:19" x14ac:dyDescent="0.25">
      <c r="A25" s="21" t="s">
        <v>260</v>
      </c>
      <c r="B25" s="110" t="s">
        <v>259</v>
      </c>
      <c r="C25" s="110"/>
      <c r="D25" s="110"/>
      <c r="E25" s="13"/>
      <c r="F25" s="13"/>
      <c r="G25" s="14"/>
      <c r="I25" s="21"/>
      <c r="J25" s="194"/>
      <c r="K25" s="194"/>
      <c r="L25" s="194"/>
      <c r="M25" s="14"/>
      <c r="N25" s="25"/>
      <c r="O25" s="125"/>
      <c r="P25"/>
      <c r="Q25"/>
      <c r="R25" s="131"/>
    </row>
    <row r="26" spans="1:19" x14ac:dyDescent="0.25">
      <c r="A26" s="21" t="s">
        <v>261</v>
      </c>
      <c r="B26" s="110" t="s">
        <v>263</v>
      </c>
      <c r="C26" s="110"/>
      <c r="D26" s="110"/>
      <c r="E26" s="110"/>
      <c r="F26" s="110"/>
      <c r="G26" s="279"/>
      <c r="I26" s="21"/>
      <c r="J26" s="13"/>
      <c r="K26" s="13"/>
      <c r="L26" s="13"/>
      <c r="M26" s="14"/>
      <c r="N26" s="25"/>
      <c r="O26" s="125"/>
      <c r="P26"/>
      <c r="Q26"/>
      <c r="R26" s="131"/>
    </row>
    <row r="27" spans="1:19" x14ac:dyDescent="0.25">
      <c r="A27" s="21" t="s">
        <v>262</v>
      </c>
      <c r="B27" s="110" t="s">
        <v>265</v>
      </c>
      <c r="C27" s="110"/>
      <c r="D27" s="110"/>
      <c r="E27" s="110"/>
      <c r="F27" s="110"/>
      <c r="G27" s="14"/>
      <c r="I27" s="21"/>
      <c r="J27" s="194"/>
      <c r="K27" s="228"/>
      <c r="L27" s="227"/>
      <c r="M27" s="14"/>
      <c r="N27" s="25"/>
      <c r="O27" s="125"/>
      <c r="P27"/>
      <c r="Q27"/>
      <c r="R27" s="131"/>
    </row>
    <row r="28" spans="1:19" x14ac:dyDescent="0.25">
      <c r="A28" s="21"/>
      <c r="B28" s="110"/>
      <c r="C28" s="13"/>
      <c r="D28" s="13"/>
      <c r="E28" s="13"/>
      <c r="F28" s="13"/>
      <c r="G28" s="14"/>
      <c r="I28" s="21"/>
      <c r="J28" s="194" t="s">
        <v>236</v>
      </c>
      <c r="K28" s="236">
        <v>5</v>
      </c>
      <c r="L28" s="227" t="s">
        <v>381</v>
      </c>
      <c r="M28" s="14"/>
      <c r="N28" s="25"/>
      <c r="O28" s="125"/>
      <c r="P28"/>
      <c r="Q28"/>
      <c r="R28" s="131"/>
    </row>
    <row r="29" spans="1:19" x14ac:dyDescent="0.25">
      <c r="A29" s="12"/>
      <c r="B29" s="13"/>
      <c r="C29" s="13"/>
      <c r="D29" s="13"/>
      <c r="E29" s="13"/>
      <c r="F29" s="13"/>
      <c r="G29" s="14"/>
      <c r="I29" s="21"/>
      <c r="J29" s="194" t="s">
        <v>239</v>
      </c>
      <c r="K29" s="237">
        <v>12</v>
      </c>
      <c r="L29" s="13" t="s">
        <v>381</v>
      </c>
      <c r="M29" s="14"/>
      <c r="N29" s="25"/>
      <c r="O29" s="125"/>
      <c r="P29"/>
      <c r="Q29"/>
      <c r="R29" s="131"/>
    </row>
    <row r="30" spans="1:19" x14ac:dyDescent="0.25">
      <c r="A30" s="12"/>
      <c r="B30" s="13"/>
      <c r="C30" s="13"/>
      <c r="D30" s="13"/>
      <c r="E30" s="13"/>
      <c r="F30" s="13"/>
      <c r="G30" s="14"/>
      <c r="I30" s="21"/>
      <c r="J30" s="194" t="s">
        <v>238</v>
      </c>
      <c r="K30" s="237">
        <v>14</v>
      </c>
      <c r="L30" s="13" t="s">
        <v>382</v>
      </c>
      <c r="M30" s="14"/>
      <c r="N30" s="25"/>
      <c r="O30" s="125"/>
      <c r="P30" s="25"/>
      <c r="Q30" s="25"/>
      <c r="R30" s="131"/>
      <c r="S30" s="25"/>
    </row>
    <row r="31" spans="1:19" x14ac:dyDescent="0.25">
      <c r="A31" s="12"/>
      <c r="B31" s="13"/>
      <c r="C31" s="13"/>
      <c r="D31" s="13"/>
      <c r="E31" s="13"/>
      <c r="F31" s="13"/>
      <c r="G31" s="14"/>
      <c r="I31" s="12"/>
      <c r="J31" s="13"/>
      <c r="K31" s="13"/>
      <c r="L31" s="13"/>
      <c r="M31" s="14"/>
      <c r="N31" s="25"/>
      <c r="O31" s="125"/>
      <c r="P31" s="25"/>
      <c r="Q31" s="25"/>
      <c r="R31" s="131"/>
      <c r="S31" s="25"/>
    </row>
    <row r="32" spans="1:19" ht="15.75" thickBot="1" x14ac:dyDescent="0.3">
      <c r="A32" s="15"/>
      <c r="B32" s="16"/>
      <c r="C32" s="16"/>
      <c r="D32" s="16"/>
      <c r="E32" s="16"/>
      <c r="F32" s="16"/>
      <c r="G32" s="17"/>
      <c r="I32" s="12"/>
      <c r="J32" s="194" t="s">
        <v>236</v>
      </c>
      <c r="K32" s="258">
        <f>K28*Q13</f>
        <v>50</v>
      </c>
      <c r="L32" s="13" t="s">
        <v>441</v>
      </c>
      <c r="M32" s="14"/>
      <c r="N32" s="25"/>
      <c r="O32" s="126"/>
      <c r="P32" s="212"/>
      <c r="Q32" s="212"/>
      <c r="R32" s="213"/>
      <c r="S32" s="25"/>
    </row>
    <row r="33" spans="8:23" x14ac:dyDescent="0.25">
      <c r="I33" s="12"/>
      <c r="J33" s="194" t="s">
        <v>239</v>
      </c>
      <c r="K33" s="258">
        <f>K29*Q13</f>
        <v>120</v>
      </c>
      <c r="L33" s="13" t="s">
        <v>441</v>
      </c>
      <c r="M33" s="14"/>
      <c r="P33"/>
      <c r="Q33"/>
      <c r="R33"/>
    </row>
    <row r="34" spans="8:23" x14ac:dyDescent="0.25">
      <c r="I34" s="12"/>
      <c r="J34" s="194" t="s">
        <v>238</v>
      </c>
      <c r="K34" s="258">
        <f>K30*Q14</f>
        <v>70</v>
      </c>
      <c r="L34" s="13" t="s">
        <v>441</v>
      </c>
      <c r="M34" s="14"/>
      <c r="P34"/>
      <c r="Q34"/>
      <c r="R34"/>
    </row>
    <row r="35" spans="8:23" x14ac:dyDescent="0.25">
      <c r="I35" s="12"/>
      <c r="J35" s="13"/>
      <c r="K35" s="13"/>
      <c r="L35" s="13"/>
      <c r="M35" s="14"/>
      <c r="P35"/>
      <c r="Q35"/>
      <c r="R35"/>
      <c r="T35" s="234"/>
      <c r="U35" s="118"/>
    </row>
    <row r="36" spans="8:23" ht="15.75" x14ac:dyDescent="0.25">
      <c r="I36" s="410" t="s">
        <v>389</v>
      </c>
      <c r="J36" s="411"/>
      <c r="K36" s="411"/>
      <c r="L36" s="411"/>
      <c r="M36" s="412"/>
      <c r="P36"/>
      <c r="Q36"/>
      <c r="R36"/>
      <c r="T36" s="234"/>
      <c r="U36" s="118"/>
    </row>
    <row r="37" spans="8:23" x14ac:dyDescent="0.25">
      <c r="H37" s="25"/>
      <c r="I37" s="12"/>
      <c r="J37" s="235" t="s">
        <v>387</v>
      </c>
      <c r="K37" s="238">
        <v>800</v>
      </c>
      <c r="L37" s="13"/>
      <c r="M37" s="14"/>
      <c r="P37"/>
      <c r="Q37"/>
      <c r="T37" s="234"/>
      <c r="U37" s="118"/>
    </row>
    <row r="38" spans="8:23" s="24" customFormat="1" x14ac:dyDescent="0.25">
      <c r="H38" s="25"/>
      <c r="I38" s="12"/>
      <c r="J38" s="235" t="s">
        <v>355</v>
      </c>
      <c r="K38" s="238">
        <v>2500</v>
      </c>
      <c r="L38" s="13"/>
      <c r="M38" s="14"/>
    </row>
    <row r="39" spans="8:23" s="24" customFormat="1" x14ac:dyDescent="0.25">
      <c r="H39" s="25"/>
      <c r="I39" s="12"/>
      <c r="J39" s="235" t="s">
        <v>354</v>
      </c>
      <c r="K39" s="238">
        <v>1.98</v>
      </c>
      <c r="L39" s="13"/>
      <c r="M39" s="14"/>
    </row>
    <row r="40" spans="8:23" x14ac:dyDescent="0.25">
      <c r="H40" s="25"/>
      <c r="I40" s="12"/>
      <c r="J40" s="235" t="s">
        <v>356</v>
      </c>
      <c r="K40" s="239">
        <v>136</v>
      </c>
      <c r="L40" s="13" t="s">
        <v>388</v>
      </c>
      <c r="M40" s="14"/>
      <c r="P40"/>
      <c r="Q40"/>
    </row>
    <row r="41" spans="8:23" s="24" customFormat="1" x14ac:dyDescent="0.25">
      <c r="H41" s="25"/>
      <c r="I41" s="12"/>
      <c r="J41" s="194" t="s">
        <v>390</v>
      </c>
      <c r="K41" s="237">
        <v>1160</v>
      </c>
      <c r="L41" s="13" t="s">
        <v>391</v>
      </c>
      <c r="M41" s="14"/>
    </row>
    <row r="42" spans="8:23" x14ac:dyDescent="0.25">
      <c r="H42" s="25"/>
      <c r="I42" s="12"/>
      <c r="J42" s="194" t="s">
        <v>423</v>
      </c>
      <c r="K42" s="257">
        <f>((K37*12)+K38+(K39*K40*26))/K41</f>
        <v>16.466620689655173</v>
      </c>
      <c r="L42" s="241" t="s">
        <v>422</v>
      </c>
      <c r="M42" s="14"/>
      <c r="P42"/>
      <c r="Q42"/>
    </row>
    <row r="43" spans="8:23" x14ac:dyDescent="0.25">
      <c r="H43" s="25"/>
      <c r="I43" s="12"/>
      <c r="J43" s="194"/>
      <c r="K43" s="259"/>
      <c r="L43" s="241"/>
      <c r="M43" s="14"/>
      <c r="P43"/>
      <c r="Q43"/>
    </row>
    <row r="44" spans="8:23" ht="15.75" thickBot="1" x14ac:dyDescent="0.3">
      <c r="H44" s="25"/>
      <c r="I44" s="15"/>
      <c r="J44" s="16"/>
      <c r="K44" s="16"/>
      <c r="L44" s="16"/>
      <c r="M44" s="17"/>
      <c r="P44"/>
      <c r="Q44"/>
    </row>
    <row r="45" spans="8:23" x14ac:dyDescent="0.25">
      <c r="H45" s="25"/>
      <c r="I45" s="25"/>
      <c r="L45" s="155"/>
      <c r="M45" s="25"/>
      <c r="P45"/>
      <c r="Q45"/>
      <c r="R45" s="25"/>
      <c r="S45" s="196"/>
      <c r="T45" s="155"/>
      <c r="U45" s="25"/>
      <c r="V45" s="24"/>
      <c r="W45" s="24"/>
    </row>
    <row r="46" spans="8:23" x14ac:dyDescent="0.25">
      <c r="L46" s="25"/>
    </row>
    <row r="47" spans="8:23" x14ac:dyDescent="0.25">
      <c r="L47" s="25"/>
    </row>
    <row r="48" spans="8:23" x14ac:dyDescent="0.25">
      <c r="J48" s="234"/>
      <c r="K48" s="118"/>
      <c r="L48" s="234"/>
    </row>
    <row r="49" spans="10:12" x14ac:dyDescent="0.25">
      <c r="J49" s="234"/>
      <c r="K49" s="118"/>
      <c r="L49" s="234"/>
    </row>
    <row r="50" spans="10:12" x14ac:dyDescent="0.25">
      <c r="J50" s="25"/>
      <c r="K50" s="25"/>
      <c r="L50" s="25"/>
    </row>
    <row r="51" spans="10:12" x14ac:dyDescent="0.25">
      <c r="J51" s="25"/>
      <c r="K51" s="25"/>
      <c r="L51" s="25"/>
    </row>
    <row r="52" spans="10:12" x14ac:dyDescent="0.25">
      <c r="J52" s="25"/>
      <c r="K52" s="25"/>
      <c r="L52" s="25"/>
    </row>
  </sheetData>
  <mergeCells count="5">
    <mergeCell ref="I36:M36"/>
    <mergeCell ref="J21:M21"/>
    <mergeCell ref="I10:M10"/>
    <mergeCell ref="O10:R10"/>
    <mergeCell ref="I22:M22"/>
  </mergeCells>
  <hyperlinks>
    <hyperlink ref="B13" location="'1.ASSET INVENTORY - WATERMAINS'!A1" display="Asset Inventory - Watermains" xr:uid="{9234460A-AF1C-46CE-BE6F-E1E59B0772F8}"/>
    <hyperlink ref="B14" location="'2. ASSET INVENTORY - SANI MAIN'!A1" display="Asset Inventory - Sanitary Mains" xr:uid="{0F98DCEF-402D-4A84-BA30-67930BBE7F77}"/>
    <hyperlink ref="B20" location="'5. SCHEDULE'!A1" display="Annual Maintenance Schedule" xr:uid="{A3943AC6-8106-446B-BA41-34A1226D6B36}"/>
    <hyperlink ref="B21" location="'6. BUDGET'!A1" display="Annual Maintenance Budget" xr:uid="{E4A419D9-952D-4C5F-BD44-B28AE2E54227}"/>
    <hyperlink ref="B26" location="'iii. WO Maintenance Hours'!A1" display="WO Maintenance Hours (For Linear Infrastructure)" xr:uid="{B0099BE3-87B4-42A3-BB5F-D4942595A12A}"/>
    <hyperlink ref="B25" location="'ii. WO Data Masterlist'!A1" display="WO Data Masterlist" xr:uid="{045FB6D2-7B65-453C-A4CC-5D6521891011}"/>
    <hyperlink ref="B27:E27" location="'iv. Annual Mnt. Budget Summary'!A1" display="Annual Maintenance Budget Summary" xr:uid="{34EF0DF7-DB62-4582-9DCC-D81DC8E8F632}"/>
    <hyperlink ref="B15" location="'3.ASSET INVENTORY - Non-Linear'!A1" display="Asset Inventory - Non-Linear Infrastructure" xr:uid="{3BEF7E98-DD8B-413F-9B66-9A44E29D9D1E}"/>
    <hyperlink ref="B25:D25" location="'i. WO Data Masterlist'!A1" display="WO Data Masterlist" xr:uid="{D6E11A91-F5C9-4CFA-80C1-D569A68953FF}"/>
    <hyperlink ref="B26:G26" location="'ii. WO Linear Infr. Mnt Hours'!A1" display="WO Maintenance Hours (For Linear Infrastructure)" xr:uid="{55D3A927-2ADD-4609-981E-C0B9C8773306}"/>
    <hyperlink ref="B27:F27" location="'iii.Annual Mnt. Budget Summary '!A1" display="Annual Maintenance Budget Summary" xr:uid="{EF9AF69F-500E-46E9-8F5D-1602D00FEC31}"/>
    <hyperlink ref="B19:D19" location="'4. SUGGESTED WORK ORDERS'!A1" display="Suggested Work Order List" xr:uid="{FE66BA3B-C9AB-4DA0-9440-6F3A3CF19D3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5736-100E-43CF-8B05-A1E36DB0EC6E}">
  <sheetPr>
    <tabColor theme="7" tint="0.59999389629810485"/>
  </sheetPr>
  <dimension ref="A2:M44"/>
  <sheetViews>
    <sheetView zoomScale="80" zoomScaleNormal="80" workbookViewId="0">
      <selection activeCell="D31" sqref="D31"/>
    </sheetView>
  </sheetViews>
  <sheetFormatPr defaultColWidth="9.140625" defaultRowHeight="15" x14ac:dyDescent="0.25"/>
  <cols>
    <col min="1" max="2" width="25.7109375" style="3" customWidth="1"/>
    <col min="3" max="3" width="50.7109375" style="24" customWidth="1"/>
    <col min="4" max="4" width="30.7109375" style="24" customWidth="1"/>
    <col min="5" max="5" width="19.28515625" style="3" bestFit="1" customWidth="1"/>
    <col min="6" max="6" width="18.7109375" style="3" customWidth="1"/>
    <col min="7" max="7" width="22.28515625" style="3" bestFit="1" customWidth="1"/>
    <col min="8" max="8" width="16.7109375" style="3" bestFit="1" customWidth="1"/>
    <col min="9" max="9" width="10.28515625" style="3" bestFit="1" customWidth="1"/>
    <col min="10" max="10" width="16.140625" style="3" bestFit="1" customWidth="1"/>
    <col min="11" max="11" width="16.42578125" style="3" bestFit="1" customWidth="1"/>
    <col min="12" max="12" width="16.140625" style="3" bestFit="1" customWidth="1"/>
    <col min="13" max="16384" width="9.140625" style="3"/>
  </cols>
  <sheetData>
    <row r="2" spans="1:13" x14ac:dyDescent="0.25">
      <c r="F2" s="421" t="s">
        <v>130</v>
      </c>
    </row>
    <row r="3" spans="1:13" x14ac:dyDescent="0.25">
      <c r="F3" s="422"/>
    </row>
    <row r="7" spans="1:13" x14ac:dyDescent="0.25">
      <c r="A7" s="3" t="s">
        <v>8</v>
      </c>
    </row>
    <row r="8" spans="1:13" ht="15.75" x14ac:dyDescent="0.25">
      <c r="A8" s="1" t="s">
        <v>119</v>
      </c>
      <c r="K8" s="11"/>
    </row>
    <row r="9" spans="1:13" s="24" customFormat="1" ht="15.75" x14ac:dyDescent="0.25">
      <c r="A9" s="1"/>
      <c r="K9" s="47"/>
    </row>
    <row r="10" spans="1:13" x14ac:dyDescent="0.25">
      <c r="A10" s="45"/>
      <c r="B10" s="45"/>
      <c r="C10" s="45"/>
      <c r="D10" s="45"/>
      <c r="E10" s="45"/>
      <c r="F10" s="45"/>
      <c r="G10" s="45"/>
      <c r="H10" s="293"/>
      <c r="I10" s="25"/>
      <c r="J10" s="25"/>
      <c r="K10" s="25"/>
      <c r="L10" s="45"/>
      <c r="M10" s="45"/>
    </row>
    <row r="11" spans="1:13" ht="54.95" customHeight="1" x14ac:dyDescent="0.25">
      <c r="A11" s="294" t="s">
        <v>198</v>
      </c>
      <c r="B11" s="294" t="s">
        <v>199</v>
      </c>
      <c r="C11" s="130" t="s">
        <v>200</v>
      </c>
      <c r="D11" s="130" t="s">
        <v>277</v>
      </c>
      <c r="E11" s="295" t="s">
        <v>5</v>
      </c>
      <c r="F11" s="295" t="s">
        <v>6</v>
      </c>
      <c r="G11" s="295" t="s">
        <v>7</v>
      </c>
      <c r="H11" s="295" t="s">
        <v>115</v>
      </c>
      <c r="I11" s="296" t="s">
        <v>116</v>
      </c>
      <c r="J11" s="296" t="s">
        <v>513</v>
      </c>
      <c r="K11" s="296" t="s">
        <v>117</v>
      </c>
      <c r="L11" s="296" t="s">
        <v>118</v>
      </c>
      <c r="M11" s="45"/>
    </row>
    <row r="12" spans="1:13" x14ac:dyDescent="0.25">
      <c r="A12" s="283" t="s">
        <v>481</v>
      </c>
      <c r="B12" s="283" t="s">
        <v>479</v>
      </c>
      <c r="C12" s="283" t="s">
        <v>480</v>
      </c>
      <c r="D12" s="283"/>
      <c r="E12" s="285" t="s">
        <v>34</v>
      </c>
      <c r="F12" s="285" t="s">
        <v>112</v>
      </c>
      <c r="G12" s="285" t="s">
        <v>102</v>
      </c>
      <c r="H12" s="285" t="s">
        <v>279</v>
      </c>
      <c r="I12" s="286">
        <v>200</v>
      </c>
      <c r="J12" s="287">
        <v>10000</v>
      </c>
      <c r="K12" s="288">
        <v>36161</v>
      </c>
      <c r="L12" s="284"/>
    </row>
    <row r="13" spans="1:13" s="24" customFormat="1" x14ac:dyDescent="0.25">
      <c r="A13" s="202"/>
      <c r="B13" s="202"/>
      <c r="C13" s="202"/>
      <c r="D13" s="202"/>
      <c r="E13" s="282"/>
      <c r="F13" s="282"/>
      <c r="G13" s="282"/>
      <c r="H13" s="282"/>
      <c r="I13" s="289"/>
      <c r="J13" s="290"/>
      <c r="K13" s="291"/>
      <c r="L13" s="225"/>
    </row>
    <row r="14" spans="1:13" s="24" customFormat="1" x14ac:dyDescent="0.25">
      <c r="A14" s="202"/>
      <c r="B14" s="202"/>
      <c r="C14" s="202"/>
      <c r="D14" s="202"/>
      <c r="E14" s="282"/>
      <c r="F14" s="282"/>
      <c r="G14" s="282"/>
      <c r="H14" s="282"/>
      <c r="I14" s="289"/>
      <c r="J14" s="290"/>
      <c r="K14" s="291"/>
      <c r="L14" s="225"/>
    </row>
    <row r="15" spans="1:13" s="24" customFormat="1" x14ac:dyDescent="0.25">
      <c r="A15" s="202"/>
      <c r="B15" s="202"/>
      <c r="C15" s="202"/>
      <c r="D15" s="202"/>
      <c r="E15" s="282"/>
      <c r="F15" s="282"/>
      <c r="G15" s="282"/>
      <c r="H15" s="282"/>
      <c r="I15" s="289"/>
      <c r="J15" s="290"/>
      <c r="K15" s="292"/>
      <c r="L15" s="225"/>
    </row>
    <row r="16" spans="1:13" s="24" customFormat="1" x14ac:dyDescent="0.25">
      <c r="A16" s="202"/>
      <c r="B16" s="202"/>
      <c r="C16" s="202"/>
      <c r="D16" s="202"/>
      <c r="E16" s="282"/>
      <c r="F16" s="282"/>
      <c r="G16" s="282"/>
      <c r="H16" s="282"/>
      <c r="I16" s="289"/>
      <c r="J16" s="290"/>
      <c r="K16" s="291"/>
      <c r="L16" s="225"/>
    </row>
    <row r="17" spans="1:12" s="24" customFormat="1" x14ac:dyDescent="0.25">
      <c r="A17" s="202"/>
      <c r="B17" s="202"/>
      <c r="C17" s="202"/>
      <c r="D17" s="202"/>
      <c r="E17" s="282"/>
      <c r="F17" s="282"/>
      <c r="G17" s="282"/>
      <c r="H17" s="282"/>
      <c r="I17" s="289"/>
      <c r="J17" s="290"/>
      <c r="K17" s="291"/>
      <c r="L17" s="225"/>
    </row>
    <row r="18" spans="1:12" s="24" customFormat="1" x14ac:dyDescent="0.25">
      <c r="A18" s="202"/>
      <c r="B18" s="202"/>
      <c r="C18" s="202"/>
      <c r="D18" s="202"/>
      <c r="E18" s="282"/>
      <c r="F18" s="282"/>
      <c r="G18" s="282"/>
      <c r="H18" s="282"/>
      <c r="I18" s="289"/>
      <c r="J18" s="290"/>
      <c r="K18" s="291"/>
      <c r="L18" s="225"/>
    </row>
    <row r="19" spans="1:12" x14ac:dyDescent="0.25">
      <c r="A19" s="202"/>
      <c r="B19" s="202"/>
      <c r="C19" s="202"/>
      <c r="D19" s="202"/>
      <c r="E19" s="282"/>
      <c r="F19" s="282"/>
      <c r="G19" s="282"/>
      <c r="H19" s="282"/>
      <c r="I19" s="282"/>
      <c r="J19" s="290"/>
      <c r="K19" s="291"/>
      <c r="L19" s="225"/>
    </row>
    <row r="20" spans="1:12" x14ac:dyDescent="0.25">
      <c r="A20" s="202"/>
      <c r="B20" s="202"/>
      <c r="C20" s="202"/>
      <c r="D20" s="202"/>
      <c r="E20" s="282"/>
      <c r="F20" s="282"/>
      <c r="G20" s="282"/>
      <c r="H20" s="282"/>
      <c r="I20" s="282"/>
      <c r="J20" s="290"/>
      <c r="K20" s="291"/>
      <c r="L20" s="225"/>
    </row>
    <row r="21" spans="1:12" x14ac:dyDescent="0.25">
      <c r="A21" s="202"/>
      <c r="B21" s="202"/>
      <c r="C21" s="202"/>
      <c r="D21" s="202"/>
      <c r="E21" s="282"/>
      <c r="F21" s="282"/>
      <c r="G21" s="282"/>
      <c r="H21" s="282"/>
      <c r="I21" s="282"/>
      <c r="J21" s="290"/>
      <c r="K21" s="291"/>
      <c r="L21" s="225"/>
    </row>
    <row r="22" spans="1:12" x14ac:dyDescent="0.25">
      <c r="A22" s="202"/>
      <c r="B22" s="202"/>
      <c r="C22" s="202"/>
      <c r="D22" s="202"/>
      <c r="E22" s="282"/>
      <c r="F22" s="282"/>
      <c r="G22" s="282"/>
      <c r="H22" s="282"/>
      <c r="I22" s="282"/>
      <c r="J22" s="290"/>
      <c r="K22" s="291"/>
      <c r="L22" s="225"/>
    </row>
    <row r="23" spans="1:12" x14ac:dyDescent="0.25">
      <c r="A23" s="202"/>
      <c r="B23" s="202"/>
      <c r="C23" s="202"/>
      <c r="D23" s="202"/>
      <c r="E23" s="282"/>
      <c r="F23" s="282"/>
      <c r="G23" s="282"/>
      <c r="H23" s="282"/>
      <c r="I23" s="282"/>
      <c r="J23" s="290"/>
      <c r="K23" s="291"/>
      <c r="L23" s="225"/>
    </row>
    <row r="24" spans="1:12" x14ac:dyDescent="0.25">
      <c r="A24" s="202"/>
      <c r="B24" s="202"/>
      <c r="C24" s="202"/>
      <c r="D24" s="202"/>
      <c r="E24" s="282"/>
      <c r="F24" s="282"/>
      <c r="G24" s="282"/>
      <c r="H24" s="282"/>
      <c r="I24" s="282"/>
      <c r="J24" s="290"/>
      <c r="K24" s="291"/>
      <c r="L24" s="225"/>
    </row>
    <row r="25" spans="1:12" x14ac:dyDescent="0.25">
      <c r="A25" s="202"/>
      <c r="B25" s="202"/>
      <c r="C25" s="202"/>
      <c r="D25" s="202"/>
      <c r="E25" s="282"/>
      <c r="F25" s="282"/>
      <c r="G25" s="282"/>
      <c r="H25" s="282"/>
      <c r="I25" s="282"/>
      <c r="J25" s="290"/>
      <c r="K25" s="291"/>
      <c r="L25" s="225"/>
    </row>
    <row r="26" spans="1:12" x14ac:dyDescent="0.25">
      <c r="A26" s="202"/>
      <c r="B26" s="202"/>
      <c r="C26" s="202"/>
      <c r="D26" s="202"/>
      <c r="E26" s="282"/>
      <c r="F26" s="282"/>
      <c r="G26" s="282"/>
      <c r="H26" s="282"/>
      <c r="I26" s="282"/>
      <c r="J26" s="290"/>
      <c r="K26" s="291"/>
      <c r="L26" s="225"/>
    </row>
    <row r="27" spans="1:12" x14ac:dyDescent="0.25">
      <c r="A27" s="202"/>
      <c r="B27" s="202"/>
      <c r="C27" s="202"/>
      <c r="D27" s="202"/>
      <c r="E27" s="282"/>
      <c r="F27" s="282"/>
      <c r="G27" s="282"/>
      <c r="H27" s="282"/>
      <c r="I27" s="282"/>
      <c r="J27" s="290"/>
      <c r="K27" s="291"/>
      <c r="L27" s="225"/>
    </row>
    <row r="28" spans="1:12" x14ac:dyDescent="0.25">
      <c r="A28" s="202"/>
      <c r="B28" s="202"/>
      <c r="C28" s="202"/>
      <c r="D28" s="202"/>
      <c r="E28" s="282"/>
      <c r="F28" s="282"/>
      <c r="G28" s="282"/>
      <c r="H28" s="282"/>
      <c r="I28" s="282"/>
      <c r="J28" s="290"/>
      <c r="K28" s="291"/>
      <c r="L28" s="225"/>
    </row>
    <row r="29" spans="1:12" x14ac:dyDescent="0.25">
      <c r="A29" s="202"/>
      <c r="B29" s="202"/>
      <c r="C29" s="202"/>
      <c r="D29" s="202"/>
      <c r="E29" s="282"/>
      <c r="F29" s="282"/>
      <c r="G29" s="282"/>
      <c r="H29" s="282"/>
      <c r="I29" s="282"/>
      <c r="J29" s="290"/>
      <c r="K29" s="291"/>
      <c r="L29" s="225"/>
    </row>
    <row r="30" spans="1:12" x14ac:dyDescent="0.25">
      <c r="A30" s="202"/>
      <c r="B30" s="202"/>
      <c r="C30" s="202"/>
      <c r="D30" s="202"/>
      <c r="E30" s="282"/>
      <c r="F30" s="282"/>
      <c r="G30" s="282"/>
      <c r="H30" s="282"/>
      <c r="I30" s="282"/>
      <c r="J30" s="290"/>
      <c r="K30" s="291"/>
      <c r="L30" s="225"/>
    </row>
    <row r="31" spans="1:12" x14ac:dyDescent="0.25">
      <c r="A31" s="202"/>
      <c r="B31" s="202"/>
      <c r="C31" s="202"/>
      <c r="D31" s="202"/>
      <c r="E31" s="282"/>
      <c r="F31" s="282"/>
      <c r="G31" s="282"/>
      <c r="H31" s="282"/>
      <c r="I31" s="282"/>
      <c r="J31" s="290"/>
      <c r="K31" s="291"/>
      <c r="L31" s="225"/>
    </row>
    <row r="32" spans="1:12" x14ac:dyDescent="0.25">
      <c r="A32" s="202"/>
      <c r="B32" s="202"/>
      <c r="C32" s="202"/>
      <c r="D32" s="202"/>
      <c r="E32" s="282"/>
      <c r="F32" s="282"/>
      <c r="G32" s="282"/>
      <c r="H32" s="282"/>
      <c r="I32" s="282"/>
      <c r="J32" s="290"/>
      <c r="K32" s="291"/>
      <c r="L32" s="225"/>
    </row>
    <row r="33" spans="1:12" x14ac:dyDescent="0.25">
      <c r="A33" s="202"/>
      <c r="B33" s="202"/>
      <c r="C33" s="202"/>
      <c r="D33" s="202"/>
      <c r="E33" s="282"/>
      <c r="F33" s="282"/>
      <c r="G33" s="282"/>
      <c r="H33" s="282"/>
      <c r="I33" s="282"/>
      <c r="J33" s="290"/>
      <c r="K33" s="291"/>
      <c r="L33" s="225"/>
    </row>
    <row r="34" spans="1:12" x14ac:dyDescent="0.25">
      <c r="A34" s="202"/>
      <c r="B34" s="202"/>
      <c r="C34" s="202"/>
      <c r="D34" s="202"/>
      <c r="E34" s="282"/>
      <c r="F34" s="282"/>
      <c r="G34" s="282"/>
      <c r="H34" s="282"/>
      <c r="I34" s="282"/>
      <c r="J34" s="290"/>
      <c r="K34" s="291"/>
      <c r="L34" s="225"/>
    </row>
    <row r="35" spans="1:12" x14ac:dyDescent="0.25">
      <c r="A35" s="202"/>
      <c r="B35" s="202"/>
      <c r="C35" s="202"/>
      <c r="D35" s="202"/>
      <c r="E35" s="282"/>
      <c r="F35" s="282"/>
      <c r="G35" s="282"/>
      <c r="H35" s="282"/>
      <c r="I35" s="282"/>
      <c r="J35" s="290"/>
      <c r="K35" s="291"/>
      <c r="L35" s="225"/>
    </row>
    <row r="36" spans="1:12" x14ac:dyDescent="0.25">
      <c r="A36" s="202"/>
      <c r="B36" s="202"/>
      <c r="C36" s="202"/>
      <c r="D36" s="202"/>
      <c r="E36" s="282"/>
      <c r="F36" s="282"/>
      <c r="G36" s="282"/>
      <c r="H36" s="282"/>
      <c r="I36" s="282"/>
      <c r="J36" s="290"/>
      <c r="K36" s="291"/>
      <c r="L36" s="225"/>
    </row>
    <row r="37" spans="1:12" x14ac:dyDescent="0.25">
      <c r="A37" s="202"/>
      <c r="B37" s="202"/>
      <c r="C37" s="202"/>
      <c r="D37" s="202"/>
      <c r="E37" s="282"/>
      <c r="F37" s="282"/>
      <c r="G37" s="282"/>
      <c r="H37" s="282"/>
      <c r="I37" s="282"/>
      <c r="J37" s="290"/>
      <c r="K37" s="291"/>
      <c r="L37" s="225"/>
    </row>
    <row r="38" spans="1:12" x14ac:dyDescent="0.25">
      <c r="A38" s="202"/>
      <c r="B38" s="202"/>
      <c r="C38" s="202"/>
      <c r="D38" s="202"/>
      <c r="E38" s="282"/>
      <c r="F38" s="282"/>
      <c r="G38" s="282"/>
      <c r="H38" s="282"/>
      <c r="I38" s="282"/>
      <c r="J38" s="290"/>
      <c r="K38" s="291"/>
      <c r="L38" s="225"/>
    </row>
    <row r="39" spans="1:12" x14ac:dyDescent="0.25">
      <c r="A39" s="202"/>
      <c r="B39" s="202"/>
      <c r="C39" s="202"/>
      <c r="D39" s="202"/>
      <c r="E39" s="282"/>
      <c r="F39" s="282"/>
      <c r="G39" s="282"/>
      <c r="H39" s="282"/>
      <c r="I39" s="282"/>
      <c r="J39" s="290"/>
      <c r="K39" s="291"/>
      <c r="L39" s="225"/>
    </row>
    <row r="40" spans="1:12" x14ac:dyDescent="0.25">
      <c r="A40" s="202"/>
      <c r="B40" s="202"/>
      <c r="C40" s="202"/>
      <c r="D40" s="202"/>
      <c r="E40" s="282"/>
      <c r="F40" s="282"/>
      <c r="G40" s="282"/>
      <c r="H40" s="282"/>
      <c r="I40" s="282"/>
      <c r="J40" s="290"/>
      <c r="K40" s="291"/>
      <c r="L40" s="225"/>
    </row>
    <row r="41" spans="1:12" x14ac:dyDescent="0.25">
      <c r="A41" s="202"/>
      <c r="B41" s="202"/>
      <c r="C41" s="202"/>
      <c r="D41" s="202"/>
      <c r="E41" s="282"/>
      <c r="F41" s="282"/>
      <c r="G41" s="282"/>
      <c r="H41" s="282"/>
      <c r="I41" s="282"/>
      <c r="J41" s="290"/>
      <c r="K41" s="291"/>
      <c r="L41" s="225"/>
    </row>
    <row r="42" spans="1:12" x14ac:dyDescent="0.25">
      <c r="A42" s="202"/>
      <c r="B42" s="202"/>
      <c r="C42" s="202"/>
      <c r="D42" s="202"/>
      <c r="E42" s="282"/>
      <c r="F42" s="282"/>
      <c r="G42" s="282"/>
      <c r="H42" s="282"/>
      <c r="I42" s="282"/>
      <c r="J42" s="290"/>
      <c r="K42" s="291"/>
      <c r="L42" s="225"/>
    </row>
    <row r="43" spans="1:12" x14ac:dyDescent="0.25">
      <c r="A43" s="202"/>
      <c r="B43" s="202"/>
      <c r="C43" s="202"/>
      <c r="D43" s="202"/>
      <c r="E43" s="282"/>
      <c r="F43" s="282"/>
      <c r="G43" s="282"/>
      <c r="H43" s="282"/>
      <c r="I43" s="282"/>
      <c r="J43" s="290"/>
      <c r="K43" s="291"/>
      <c r="L43" s="225"/>
    </row>
    <row r="44" spans="1:12" x14ac:dyDescent="0.25">
      <c r="A44" s="202"/>
      <c r="B44" s="202"/>
      <c r="C44" s="202"/>
      <c r="D44" s="202"/>
      <c r="E44" s="282"/>
      <c r="F44" s="282"/>
      <c r="G44" s="282"/>
      <c r="H44" s="282"/>
      <c r="I44" s="282"/>
      <c r="J44" s="290"/>
      <c r="K44" s="291"/>
      <c r="L44" s="225"/>
    </row>
  </sheetData>
  <mergeCells count="1">
    <mergeCell ref="F2:F3"/>
  </mergeCells>
  <phoneticPr fontId="10" type="noConversion"/>
  <dataValidations count="5">
    <dataValidation type="list" allowBlank="1" showInputMessage="1" showErrorMessage="1" error="Use drop-down arrow to select Asset Group" sqref="E12:E44" xr:uid="{3FB46505-2507-4E03-9931-F55B54BD2F6C}">
      <formula1>"WATER"</formula1>
    </dataValidation>
    <dataValidation type="list" allowBlank="1" showInputMessage="1" showErrorMessage="1" error="Use dropdown arrow to select Asset Subgroup" sqref="F12:F44" xr:uid="{46D40ED5-50FE-4F63-855F-42152B3C297C}">
      <formula1>"Supply, Distribution"</formula1>
    </dataValidation>
    <dataValidation type="list" allowBlank="1" showInputMessage="1" showErrorMessage="1" error="Use dropdown arrow to select Asset Component" sqref="G12:G44" xr:uid="{E3F01A7D-0EB9-409D-8365-1DCA2CA64455}">
      <formula1>"Main"</formula1>
    </dataValidation>
    <dataValidation type="list" allowBlank="1" showInputMessage="1" showErrorMessage="1" sqref="L12:L44" xr:uid="{373FA81C-BC18-4E29-B603-18430AD31C1F}">
      <formula1>"Excellent, Good, Fair, Poor"</formula1>
    </dataValidation>
    <dataValidation type="list" allowBlank="1" showInputMessage="1" showErrorMessage="1" error="Use dropdown arrow to select material." sqref="H12:H44" xr:uid="{5A4BC4D9-ABE6-4FF9-9189-3C1CA1E375BB}">
      <formula1>"STEEL, PVC, AC, DI, HDPE"</formula1>
    </dataValidation>
  </dataValidations>
  <hyperlinks>
    <hyperlink ref="F2:F3" location="'TABLE OF CONTENTS'!A1" display="Return to Table of Contents" xr:uid="{F5FA6C08-ECA5-4DD1-86F9-BDA041FF72ED}"/>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7E172-E83D-449B-BFC0-01A299EEED2D}">
  <sheetPr>
    <tabColor theme="7" tint="0.59999389629810485"/>
  </sheetPr>
  <dimension ref="A2:AB62"/>
  <sheetViews>
    <sheetView zoomScale="80" zoomScaleNormal="80" workbookViewId="0">
      <selection activeCell="D5" sqref="D5"/>
    </sheetView>
  </sheetViews>
  <sheetFormatPr defaultColWidth="9.140625" defaultRowHeight="15" x14ac:dyDescent="0.25"/>
  <cols>
    <col min="1" max="1" width="25.7109375" style="3" customWidth="1"/>
    <col min="2" max="2" width="25.7109375" style="24" customWidth="1"/>
    <col min="3" max="3" width="50.7109375" style="24" customWidth="1"/>
    <col min="4" max="4" width="14.140625" style="10" bestFit="1" customWidth="1"/>
    <col min="5" max="5" width="19.42578125" style="24" bestFit="1" customWidth="1"/>
    <col min="6" max="6" width="30.7109375" style="3" customWidth="1"/>
    <col min="7" max="7" width="26.5703125" style="3" bestFit="1" customWidth="1"/>
    <col min="8" max="8" width="23.85546875" style="3" customWidth="1"/>
    <col min="9" max="9" width="19.140625" style="3" customWidth="1"/>
    <col min="10" max="10" width="11.7109375" style="24" customWidth="1"/>
    <col min="11" max="11" width="11.140625" style="3" bestFit="1" customWidth="1"/>
    <col min="12" max="12" width="20" style="3" bestFit="1" customWidth="1"/>
    <col min="13" max="13" width="16.28515625" style="3" bestFit="1" customWidth="1"/>
    <col min="14" max="14" width="24" style="3" bestFit="1" customWidth="1"/>
    <col min="15" max="15" width="9.140625" style="3"/>
    <col min="16" max="16" width="17.85546875" style="3" bestFit="1" customWidth="1"/>
    <col min="17" max="17" width="14.140625" style="3" bestFit="1" customWidth="1"/>
    <col min="18" max="18" width="15.5703125" style="3" bestFit="1" customWidth="1"/>
    <col min="19" max="16384" width="9.140625" style="3"/>
  </cols>
  <sheetData>
    <row r="2" spans="1:28" x14ac:dyDescent="0.25">
      <c r="H2" s="421" t="s">
        <v>130</v>
      </c>
    </row>
    <row r="3" spans="1:28" x14ac:dyDescent="0.25">
      <c r="D3" s="423" t="s">
        <v>478</v>
      </c>
      <c r="E3" s="423"/>
      <c r="H3" s="422"/>
    </row>
    <row r="4" spans="1:28" x14ac:dyDescent="0.25">
      <c r="D4" s="182" t="s">
        <v>346</v>
      </c>
      <c r="E4" t="s">
        <v>515</v>
      </c>
    </row>
    <row r="5" spans="1:28" x14ac:dyDescent="0.25">
      <c r="D5" s="7" t="s">
        <v>102</v>
      </c>
      <c r="E5" s="30">
        <v>5000</v>
      </c>
      <c r="O5" s="394" t="s">
        <v>482</v>
      </c>
      <c r="P5" s="395"/>
      <c r="Q5" s="395" t="s">
        <v>281</v>
      </c>
      <c r="R5" s="395"/>
      <c r="S5" s="396"/>
      <c r="T5" s="395" t="s">
        <v>474</v>
      </c>
      <c r="U5" s="397" t="s">
        <v>26</v>
      </c>
      <c r="V5" s="397" t="s">
        <v>113</v>
      </c>
      <c r="W5" s="397" t="s">
        <v>102</v>
      </c>
      <c r="X5" s="397" t="s">
        <v>280</v>
      </c>
      <c r="Y5" s="398" t="s">
        <v>473</v>
      </c>
      <c r="Z5" s="398">
        <v>5000</v>
      </c>
      <c r="AA5" s="399">
        <v>30317</v>
      </c>
      <c r="AB5" s="400"/>
    </row>
    <row r="6" spans="1:28" x14ac:dyDescent="0.25">
      <c r="D6" s="7" t="s">
        <v>348</v>
      </c>
      <c r="E6" s="8">
        <v>5000</v>
      </c>
    </row>
    <row r="7" spans="1:28" x14ac:dyDescent="0.25">
      <c r="A7" s="3" t="s">
        <v>8</v>
      </c>
      <c r="D7"/>
      <c r="E7"/>
    </row>
    <row r="8" spans="1:28" ht="15.75" x14ac:dyDescent="0.25">
      <c r="A8" s="1" t="s">
        <v>125</v>
      </c>
      <c r="D8"/>
      <c r="E8"/>
    </row>
    <row r="10" spans="1:28" s="24" customFormat="1" x14ac:dyDescent="0.25">
      <c r="A10" s="45"/>
      <c r="B10" s="45"/>
      <c r="C10" s="45"/>
      <c r="D10" s="25"/>
      <c r="E10" s="45"/>
      <c r="F10" s="45"/>
      <c r="G10" s="45"/>
      <c r="H10" s="45"/>
      <c r="I10" s="45"/>
      <c r="J10" s="45"/>
      <c r="K10" s="45"/>
      <c r="L10" s="45"/>
      <c r="M10" s="45"/>
      <c r="N10" s="280"/>
    </row>
    <row r="11" spans="1:28" ht="54.95" customHeight="1" x14ac:dyDescent="0.25">
      <c r="A11" s="294" t="s">
        <v>198</v>
      </c>
      <c r="B11" s="294" t="s">
        <v>199</v>
      </c>
      <c r="C11" s="130" t="s">
        <v>200</v>
      </c>
      <c r="D11" s="130" t="s">
        <v>275</v>
      </c>
      <c r="E11" s="133" t="s">
        <v>276</v>
      </c>
      <c r="F11" s="130" t="s">
        <v>277</v>
      </c>
      <c r="G11" s="295" t="s">
        <v>5</v>
      </c>
      <c r="H11" s="295" t="s">
        <v>6</v>
      </c>
      <c r="I11" s="295" t="s">
        <v>7</v>
      </c>
      <c r="J11" s="295" t="s">
        <v>115</v>
      </c>
      <c r="K11" s="296" t="s">
        <v>116</v>
      </c>
      <c r="L11" s="296" t="s">
        <v>513</v>
      </c>
      <c r="M11" s="296" t="s">
        <v>117</v>
      </c>
      <c r="N11" s="296" t="s">
        <v>118</v>
      </c>
    </row>
    <row r="12" spans="1:28" s="24" customFormat="1" x14ac:dyDescent="0.25">
      <c r="A12" s="394" t="s">
        <v>482</v>
      </c>
      <c r="B12" s="395"/>
      <c r="C12" s="395" t="s">
        <v>516</v>
      </c>
      <c r="D12" s="395"/>
      <c r="E12" s="396"/>
      <c r="F12" s="395" t="s">
        <v>474</v>
      </c>
      <c r="G12" s="397" t="s">
        <v>26</v>
      </c>
      <c r="H12" s="397" t="s">
        <v>113</v>
      </c>
      <c r="I12" s="397" t="s">
        <v>102</v>
      </c>
      <c r="J12" s="397" t="s">
        <v>280</v>
      </c>
      <c r="K12" s="401" t="s">
        <v>473</v>
      </c>
      <c r="L12" s="398">
        <v>5000</v>
      </c>
      <c r="M12" s="399">
        <v>30317</v>
      </c>
      <c r="N12" s="400" t="s">
        <v>323</v>
      </c>
    </row>
    <row r="13" spans="1:28" s="111" customFormat="1" x14ac:dyDescent="0.25">
      <c r="A13" s="394"/>
      <c r="B13" s="283"/>
      <c r="C13" s="395"/>
      <c r="D13" s="283"/>
      <c r="E13" s="284"/>
      <c r="F13" s="283"/>
      <c r="G13" s="285"/>
      <c r="H13" s="285"/>
      <c r="I13" s="285"/>
      <c r="J13" s="285"/>
      <c r="K13" s="405"/>
      <c r="L13" s="286"/>
      <c r="M13" s="399"/>
      <c r="N13" s="284"/>
    </row>
    <row r="14" spans="1:28" s="24" customFormat="1" x14ac:dyDescent="0.25">
      <c r="A14" s="202"/>
      <c r="B14" s="202"/>
      <c r="C14" s="202"/>
      <c r="D14" s="202"/>
      <c r="E14" s="225"/>
      <c r="F14" s="202"/>
      <c r="G14" s="282"/>
      <c r="H14" s="282"/>
      <c r="I14" s="282"/>
      <c r="J14" s="282"/>
      <c r="K14" s="402"/>
      <c r="L14" s="289"/>
      <c r="M14" s="297"/>
      <c r="N14" s="225"/>
      <c r="S14"/>
    </row>
    <row r="15" spans="1:28" s="24" customFormat="1" x14ac:dyDescent="0.25">
      <c r="A15" s="202"/>
      <c r="B15" s="202"/>
      <c r="C15" s="202"/>
      <c r="D15" s="202"/>
      <c r="E15" s="225"/>
      <c r="F15" s="202"/>
      <c r="G15" s="282"/>
      <c r="H15" s="282"/>
      <c r="I15" s="282"/>
      <c r="J15" s="282"/>
      <c r="K15" s="402"/>
      <c r="L15" s="289"/>
      <c r="M15" s="297"/>
      <c r="N15" s="225"/>
      <c r="S15"/>
    </row>
    <row r="16" spans="1:28" s="24" customFormat="1" x14ac:dyDescent="0.25">
      <c r="A16" s="202"/>
      <c r="B16" s="202"/>
      <c r="C16" s="202"/>
      <c r="D16" s="202"/>
      <c r="E16" s="225"/>
      <c r="F16" s="202"/>
      <c r="G16" s="282"/>
      <c r="H16" s="282"/>
      <c r="I16" s="282"/>
      <c r="J16" s="282"/>
      <c r="K16" s="402"/>
      <c r="L16" s="289"/>
      <c r="M16" s="297"/>
      <c r="N16" s="225"/>
      <c r="S16"/>
    </row>
    <row r="17" spans="1:19" s="24" customFormat="1" x14ac:dyDescent="0.25">
      <c r="A17" s="202"/>
      <c r="B17" s="202"/>
      <c r="C17" s="202"/>
      <c r="D17" s="202"/>
      <c r="E17" s="225"/>
      <c r="F17" s="202"/>
      <c r="G17" s="282"/>
      <c r="H17" s="282"/>
      <c r="I17" s="282"/>
      <c r="J17" s="282"/>
      <c r="K17" s="402"/>
      <c r="L17" s="289"/>
      <c r="M17" s="297"/>
      <c r="N17" s="225"/>
      <c r="S17"/>
    </row>
    <row r="18" spans="1:19" s="24" customFormat="1" x14ac:dyDescent="0.25">
      <c r="A18" s="202"/>
      <c r="B18" s="202"/>
      <c r="C18" s="202"/>
      <c r="D18" s="202"/>
      <c r="E18" s="225"/>
      <c r="F18" s="202"/>
      <c r="G18" s="282"/>
      <c r="H18" s="282"/>
      <c r="I18" s="282"/>
      <c r="J18" s="282"/>
      <c r="K18" s="402"/>
      <c r="L18" s="289"/>
      <c r="M18" s="297"/>
      <c r="N18" s="225"/>
      <c r="S18"/>
    </row>
    <row r="19" spans="1:19" s="24" customFormat="1" x14ac:dyDescent="0.25">
      <c r="A19" s="202"/>
      <c r="B19" s="202"/>
      <c r="C19" s="202"/>
      <c r="D19" s="202"/>
      <c r="E19" s="225"/>
      <c r="F19" s="202"/>
      <c r="G19" s="282"/>
      <c r="H19" s="282"/>
      <c r="I19" s="282"/>
      <c r="J19" s="282"/>
      <c r="K19" s="402"/>
      <c r="L19" s="289"/>
      <c r="M19" s="297"/>
      <c r="N19" s="225"/>
      <c r="Q19"/>
      <c r="R19"/>
      <c r="S19"/>
    </row>
    <row r="20" spans="1:19" s="24" customFormat="1" x14ac:dyDescent="0.25">
      <c r="A20" s="202"/>
      <c r="B20" s="202"/>
      <c r="C20" s="202"/>
      <c r="D20" s="202"/>
      <c r="E20" s="225"/>
      <c r="F20" s="202"/>
      <c r="G20" s="282"/>
      <c r="H20" s="282"/>
      <c r="I20" s="282"/>
      <c r="J20" s="282"/>
      <c r="K20" s="402"/>
      <c r="L20" s="289"/>
      <c r="M20" s="297"/>
      <c r="N20" s="225"/>
      <c r="Q20"/>
      <c r="R20"/>
      <c r="S20"/>
    </row>
    <row r="21" spans="1:19" s="24" customFormat="1" x14ac:dyDescent="0.25">
      <c r="A21" s="202"/>
      <c r="B21" s="202"/>
      <c r="C21" s="202"/>
      <c r="D21" s="202"/>
      <c r="E21" s="225"/>
      <c r="F21" s="202"/>
      <c r="G21" s="282"/>
      <c r="H21" s="282"/>
      <c r="I21" s="282"/>
      <c r="J21" s="282"/>
      <c r="K21" s="402"/>
      <c r="L21" s="289"/>
      <c r="M21" s="297"/>
      <c r="N21" s="225"/>
      <c r="Q21"/>
      <c r="R21"/>
      <c r="S21"/>
    </row>
    <row r="22" spans="1:19" s="24" customFormat="1" x14ac:dyDescent="0.25">
      <c r="A22" s="202"/>
      <c r="B22" s="202"/>
      <c r="C22" s="202"/>
      <c r="D22" s="202"/>
      <c r="E22" s="225"/>
      <c r="F22" s="202"/>
      <c r="G22" s="282"/>
      <c r="H22" s="282"/>
      <c r="I22" s="282"/>
      <c r="J22" s="282"/>
      <c r="K22" s="402"/>
      <c r="L22" s="289"/>
      <c r="M22" s="297"/>
      <c r="N22" s="225"/>
      <c r="Q22"/>
      <c r="R22"/>
      <c r="S22"/>
    </row>
    <row r="23" spans="1:19" s="24" customFormat="1" x14ac:dyDescent="0.25">
      <c r="A23" s="202"/>
      <c r="B23" s="202"/>
      <c r="C23" s="202"/>
      <c r="D23" s="202"/>
      <c r="E23" s="225"/>
      <c r="F23" s="202"/>
      <c r="G23" s="282"/>
      <c r="H23" s="282"/>
      <c r="I23" s="282"/>
      <c r="J23" s="282"/>
      <c r="K23" s="402"/>
      <c r="L23" s="289"/>
      <c r="M23" s="297"/>
      <c r="N23" s="225"/>
      <c r="Q23"/>
      <c r="R23"/>
      <c r="S23"/>
    </row>
    <row r="24" spans="1:19" s="24" customFormat="1" x14ac:dyDescent="0.25">
      <c r="A24" s="202"/>
      <c r="B24" s="202"/>
      <c r="C24" s="202"/>
      <c r="D24" s="202"/>
      <c r="E24" s="225"/>
      <c r="F24" s="202"/>
      <c r="G24" s="282"/>
      <c r="H24" s="282"/>
      <c r="I24" s="282"/>
      <c r="J24" s="282"/>
      <c r="K24" s="402"/>
      <c r="L24" s="289"/>
      <c r="M24" s="297"/>
      <c r="N24" s="225"/>
      <c r="Q24"/>
      <c r="R24"/>
      <c r="S24"/>
    </row>
    <row r="25" spans="1:19" s="24" customFormat="1" x14ac:dyDescent="0.25">
      <c r="A25" s="202"/>
      <c r="B25" s="202"/>
      <c r="C25" s="202"/>
      <c r="D25" s="202"/>
      <c r="E25" s="225"/>
      <c r="F25" s="202"/>
      <c r="G25" s="282"/>
      <c r="H25" s="282"/>
      <c r="I25" s="282"/>
      <c r="J25" s="282"/>
      <c r="K25" s="402"/>
      <c r="L25" s="289"/>
      <c r="M25" s="297"/>
      <c r="N25" s="225"/>
      <c r="Q25"/>
      <c r="R25"/>
      <c r="S25"/>
    </row>
    <row r="26" spans="1:19" s="24" customFormat="1" x14ac:dyDescent="0.25">
      <c r="A26" s="202"/>
      <c r="B26" s="202"/>
      <c r="C26" s="202"/>
      <c r="D26" s="202"/>
      <c r="E26" s="225"/>
      <c r="F26" s="202"/>
      <c r="G26" s="282"/>
      <c r="H26" s="282"/>
      <c r="I26" s="282"/>
      <c r="J26" s="282"/>
      <c r="K26" s="402"/>
      <c r="L26" s="289"/>
      <c r="M26" s="297"/>
      <c r="N26" s="225"/>
      <c r="Q26"/>
      <c r="R26"/>
      <c r="S26"/>
    </row>
    <row r="27" spans="1:19" s="24" customFormat="1" x14ac:dyDescent="0.25">
      <c r="A27" s="202"/>
      <c r="B27" s="202"/>
      <c r="C27" s="202"/>
      <c r="D27" s="202"/>
      <c r="E27" s="225"/>
      <c r="F27" s="202"/>
      <c r="G27" s="282"/>
      <c r="H27" s="282"/>
      <c r="I27" s="282"/>
      <c r="J27" s="282"/>
      <c r="K27" s="402"/>
      <c r="L27" s="289"/>
      <c r="M27" s="297"/>
      <c r="N27" s="225"/>
      <c r="Q27"/>
      <c r="R27"/>
      <c r="S27"/>
    </row>
    <row r="28" spans="1:19" s="24" customFormat="1" x14ac:dyDescent="0.25">
      <c r="A28" s="202"/>
      <c r="B28" s="202"/>
      <c r="C28" s="202"/>
      <c r="D28" s="202"/>
      <c r="E28" s="225"/>
      <c r="F28" s="202"/>
      <c r="G28" s="282"/>
      <c r="H28" s="282"/>
      <c r="I28" s="282"/>
      <c r="J28" s="282"/>
      <c r="K28" s="402"/>
      <c r="L28" s="289"/>
      <c r="M28" s="297"/>
      <c r="N28" s="225"/>
      <c r="Q28"/>
      <c r="R28"/>
      <c r="S28"/>
    </row>
    <row r="29" spans="1:19" s="24" customFormat="1" x14ac:dyDescent="0.25">
      <c r="A29" s="202"/>
      <c r="B29" s="202"/>
      <c r="C29" s="202"/>
      <c r="D29" s="202"/>
      <c r="E29" s="225"/>
      <c r="F29" s="202"/>
      <c r="G29" s="282"/>
      <c r="H29" s="282"/>
      <c r="I29" s="282"/>
      <c r="J29" s="282"/>
      <c r="K29" s="402"/>
      <c r="L29" s="289"/>
      <c r="M29" s="298"/>
      <c r="N29" s="225"/>
      <c r="Q29"/>
      <c r="R29"/>
      <c r="S29"/>
    </row>
    <row r="30" spans="1:19" s="24" customFormat="1" x14ac:dyDescent="0.25">
      <c r="A30" s="202"/>
      <c r="B30" s="202"/>
      <c r="C30" s="202"/>
      <c r="D30" s="202"/>
      <c r="E30" s="225"/>
      <c r="F30" s="202"/>
      <c r="G30" s="282"/>
      <c r="H30" s="282"/>
      <c r="I30" s="282"/>
      <c r="J30" s="282"/>
      <c r="K30" s="402"/>
      <c r="L30" s="289"/>
      <c r="M30" s="298"/>
      <c r="N30" s="225"/>
      <c r="Q30"/>
      <c r="R30"/>
      <c r="S30"/>
    </row>
    <row r="31" spans="1:19" s="24" customFormat="1" x14ac:dyDescent="0.25">
      <c r="A31" s="202"/>
      <c r="B31" s="202"/>
      <c r="C31" s="202"/>
      <c r="D31" s="202"/>
      <c r="E31" s="225"/>
      <c r="F31" s="202"/>
      <c r="G31" s="282"/>
      <c r="H31" s="282"/>
      <c r="I31" s="282"/>
      <c r="J31" s="282"/>
      <c r="K31" s="402"/>
      <c r="L31" s="289"/>
      <c r="M31" s="298"/>
      <c r="N31" s="225"/>
      <c r="Q31"/>
      <c r="R31"/>
      <c r="S31"/>
    </row>
    <row r="32" spans="1:19" s="24" customFormat="1" x14ac:dyDescent="0.25">
      <c r="A32" s="202"/>
      <c r="B32" s="202"/>
      <c r="C32" s="202"/>
      <c r="D32" s="202"/>
      <c r="E32" s="225"/>
      <c r="F32" s="202"/>
      <c r="G32" s="282"/>
      <c r="H32" s="282"/>
      <c r="I32" s="282"/>
      <c r="J32" s="282"/>
      <c r="K32" s="402"/>
      <c r="L32" s="289"/>
      <c r="M32" s="298"/>
      <c r="N32" s="225"/>
    </row>
    <row r="33" spans="1:14" s="24" customFormat="1" x14ac:dyDescent="0.25">
      <c r="A33" s="202"/>
      <c r="B33" s="202"/>
      <c r="C33" s="202"/>
      <c r="D33" s="202"/>
      <c r="E33" s="225"/>
      <c r="F33" s="202"/>
      <c r="G33" s="282"/>
      <c r="H33" s="282"/>
      <c r="I33" s="282"/>
      <c r="J33" s="282"/>
      <c r="K33" s="402"/>
      <c r="L33" s="289"/>
      <c r="M33" s="298"/>
      <c r="N33" s="225"/>
    </row>
    <row r="34" spans="1:14" s="24" customFormat="1" x14ac:dyDescent="0.25">
      <c r="A34" s="202"/>
      <c r="B34" s="202"/>
      <c r="C34" s="202"/>
      <c r="D34" s="202"/>
      <c r="E34" s="225"/>
      <c r="F34" s="202"/>
      <c r="G34" s="205"/>
      <c r="H34" s="205"/>
      <c r="I34" s="205"/>
      <c r="J34" s="205"/>
      <c r="K34" s="403"/>
      <c r="L34" s="207"/>
      <c r="M34" s="138"/>
      <c r="N34" s="27"/>
    </row>
    <row r="35" spans="1:14" s="24" customFormat="1" x14ac:dyDescent="0.25">
      <c r="A35" s="202"/>
      <c r="B35" s="202"/>
      <c r="C35" s="202"/>
      <c r="D35" s="202"/>
      <c r="E35" s="225"/>
      <c r="F35" s="202"/>
      <c r="G35" s="205"/>
      <c r="H35" s="205"/>
      <c r="I35" s="205"/>
      <c r="J35" s="205"/>
      <c r="K35" s="403"/>
      <c r="L35" s="207"/>
      <c r="M35" s="138"/>
      <c r="N35" s="27"/>
    </row>
    <row r="36" spans="1:14" s="24" customFormat="1" x14ac:dyDescent="0.25">
      <c r="A36" s="202"/>
      <c r="B36" s="202"/>
      <c r="C36" s="202"/>
      <c r="D36" s="202"/>
      <c r="E36" s="225"/>
      <c r="F36" s="202"/>
      <c r="G36" s="205"/>
      <c r="H36" s="205"/>
      <c r="I36" s="205"/>
      <c r="J36" s="205"/>
      <c r="K36" s="404"/>
      <c r="L36" s="208"/>
      <c r="M36" s="26"/>
      <c r="N36" s="27"/>
    </row>
    <row r="37" spans="1:14" s="24" customFormat="1" x14ac:dyDescent="0.25">
      <c r="A37" s="202"/>
      <c r="B37" s="202"/>
      <c r="C37" s="202"/>
      <c r="D37" s="202"/>
      <c r="E37" s="225"/>
      <c r="F37" s="202"/>
      <c r="G37" s="205"/>
      <c r="H37" s="205"/>
      <c r="I37" s="205"/>
      <c r="J37" s="205"/>
      <c r="K37" s="404"/>
      <c r="L37" s="208"/>
      <c r="M37" s="26"/>
      <c r="N37" s="27"/>
    </row>
    <row r="38" spans="1:14" s="24" customFormat="1" x14ac:dyDescent="0.25">
      <c r="A38" s="202"/>
      <c r="B38" s="202"/>
      <c r="C38" s="202"/>
      <c r="D38" s="202"/>
      <c r="E38" s="225"/>
      <c r="F38" s="202"/>
      <c r="G38" s="205"/>
      <c r="H38" s="205"/>
      <c r="I38" s="205"/>
      <c r="J38" s="205"/>
      <c r="K38" s="404"/>
      <c r="L38" s="208"/>
      <c r="M38" s="26"/>
      <c r="N38" s="27"/>
    </row>
    <row r="39" spans="1:14" s="24" customFormat="1" x14ac:dyDescent="0.25">
      <c r="A39" s="202"/>
      <c r="B39" s="202"/>
      <c r="C39" s="202"/>
      <c r="D39" s="202"/>
      <c r="E39" s="225"/>
      <c r="F39" s="202"/>
      <c r="G39" s="205"/>
      <c r="H39" s="205"/>
      <c r="I39" s="205"/>
      <c r="J39" s="205"/>
      <c r="K39" s="404"/>
      <c r="L39" s="208"/>
      <c r="M39" s="26"/>
      <c r="N39" s="27"/>
    </row>
    <row r="40" spans="1:14" s="24" customFormat="1" x14ac:dyDescent="0.25">
      <c r="A40" s="202"/>
      <c r="B40" s="202"/>
      <c r="C40" s="202"/>
      <c r="D40" s="202"/>
      <c r="E40" s="225"/>
      <c r="F40" s="202"/>
      <c r="G40" s="205"/>
      <c r="H40" s="205"/>
      <c r="I40" s="205"/>
      <c r="J40" s="205"/>
      <c r="K40" s="404"/>
      <c r="L40" s="208"/>
      <c r="M40" s="26"/>
      <c r="N40" s="27"/>
    </row>
    <row r="41" spans="1:14" s="24" customFormat="1" x14ac:dyDescent="0.25">
      <c r="A41" s="202"/>
      <c r="B41" s="202"/>
      <c r="C41" s="202"/>
      <c r="D41" s="202"/>
      <c r="E41" s="225"/>
      <c r="F41" s="202"/>
      <c r="G41" s="205"/>
      <c r="H41" s="205"/>
      <c r="I41" s="205"/>
      <c r="J41" s="205"/>
      <c r="K41" s="404"/>
      <c r="L41" s="208"/>
      <c r="M41" s="26"/>
      <c r="N41" s="27"/>
    </row>
    <row r="42" spans="1:14" s="24" customFormat="1" x14ac:dyDescent="0.25">
      <c r="A42" s="202"/>
      <c r="B42" s="202"/>
      <c r="C42" s="202"/>
      <c r="D42" s="202"/>
      <c r="E42" s="225"/>
      <c r="F42" s="202"/>
      <c r="G42" s="205"/>
      <c r="H42" s="205"/>
      <c r="I42" s="205"/>
      <c r="J42" s="205"/>
      <c r="K42" s="404"/>
      <c r="L42" s="208"/>
      <c r="M42" s="26"/>
      <c r="N42" s="27"/>
    </row>
    <row r="43" spans="1:14" s="24" customFormat="1" x14ac:dyDescent="0.25">
      <c r="A43" s="202"/>
      <c r="B43" s="202"/>
      <c r="C43" s="202"/>
      <c r="D43" s="202"/>
      <c r="E43" s="225"/>
      <c r="F43" s="202"/>
      <c r="G43" s="205"/>
      <c r="H43" s="205"/>
      <c r="I43" s="205"/>
      <c r="J43" s="205"/>
      <c r="K43" s="404"/>
      <c r="L43" s="205"/>
      <c r="M43" s="26"/>
      <c r="N43" s="27"/>
    </row>
    <row r="44" spans="1:14" x14ac:dyDescent="0.25">
      <c r="A44" s="202"/>
      <c r="B44" s="202"/>
      <c r="C44" s="202"/>
      <c r="D44" s="202"/>
      <c r="E44" s="225"/>
      <c r="F44" s="202"/>
      <c r="G44" s="205"/>
      <c r="H44" s="205"/>
      <c r="I44" s="205"/>
      <c r="J44" s="205"/>
      <c r="K44" s="404"/>
      <c r="L44" s="205"/>
      <c r="M44" s="26"/>
      <c r="N44" s="26"/>
    </row>
    <row r="45" spans="1:14" x14ac:dyDescent="0.25">
      <c r="A45" s="202"/>
      <c r="B45" s="202"/>
      <c r="C45" s="202"/>
      <c r="D45" s="202"/>
      <c r="E45" s="225"/>
      <c r="F45" s="202"/>
      <c r="G45" s="282"/>
      <c r="H45" s="282"/>
      <c r="I45" s="282"/>
      <c r="J45" s="282"/>
      <c r="K45" s="300"/>
      <c r="L45" s="282"/>
      <c r="M45" s="202"/>
      <c r="N45" s="26"/>
    </row>
    <row r="46" spans="1:14" x14ac:dyDescent="0.25">
      <c r="A46" s="202"/>
      <c r="B46" s="202"/>
      <c r="C46" s="202"/>
      <c r="D46" s="202"/>
      <c r="E46" s="225"/>
      <c r="F46" s="202"/>
      <c r="G46" s="282"/>
      <c r="H46" s="282"/>
      <c r="I46" s="282"/>
      <c r="J46" s="282"/>
      <c r="K46" s="300"/>
      <c r="L46" s="282"/>
      <c r="M46" s="202"/>
      <c r="N46" s="26"/>
    </row>
    <row r="47" spans="1:14" x14ac:dyDescent="0.25">
      <c r="A47" s="202"/>
      <c r="B47" s="202"/>
      <c r="C47" s="202"/>
      <c r="D47" s="202"/>
      <c r="E47" s="225"/>
      <c r="F47" s="202"/>
      <c r="G47" s="282"/>
      <c r="H47" s="282"/>
      <c r="I47" s="282"/>
      <c r="J47" s="282"/>
      <c r="K47" s="300"/>
      <c r="L47" s="282"/>
      <c r="M47" s="202"/>
      <c r="N47" s="26"/>
    </row>
    <row r="48" spans="1:14" x14ac:dyDescent="0.25">
      <c r="A48" s="202"/>
      <c r="B48" s="202"/>
      <c r="C48" s="202"/>
      <c r="D48" s="202"/>
      <c r="E48" s="225"/>
      <c r="F48" s="202"/>
      <c r="G48" s="282"/>
      <c r="H48" s="282"/>
      <c r="I48" s="282"/>
      <c r="J48" s="282"/>
      <c r="K48" s="300"/>
      <c r="L48" s="282"/>
      <c r="M48" s="202"/>
      <c r="N48" s="27"/>
    </row>
    <row r="49" spans="1:14" x14ac:dyDescent="0.25">
      <c r="A49" s="202"/>
      <c r="B49" s="202"/>
      <c r="C49" s="202"/>
      <c r="D49" s="202"/>
      <c r="E49" s="225"/>
      <c r="F49" s="202"/>
      <c r="G49" s="282"/>
      <c r="H49" s="282"/>
      <c r="I49" s="282"/>
      <c r="J49" s="282"/>
      <c r="K49" s="300"/>
      <c r="L49" s="282"/>
      <c r="M49" s="202"/>
      <c r="N49" s="27"/>
    </row>
    <row r="50" spans="1:14" x14ac:dyDescent="0.25">
      <c r="A50" s="45"/>
      <c r="B50" s="45"/>
      <c r="C50" s="45"/>
      <c r="D50" s="25"/>
      <c r="E50" s="45"/>
      <c r="M50" s="45"/>
      <c r="N50" s="45"/>
    </row>
    <row r="51" spans="1:14" x14ac:dyDescent="0.25">
      <c r="M51" s="45"/>
      <c r="N51" s="45"/>
    </row>
    <row r="52" spans="1:14" x14ac:dyDescent="0.25">
      <c r="M52" s="45"/>
      <c r="N52" s="45"/>
    </row>
    <row r="53" spans="1:14" x14ac:dyDescent="0.25">
      <c r="M53" s="45"/>
      <c r="N53" s="45"/>
    </row>
    <row r="54" spans="1:14" x14ac:dyDescent="0.25">
      <c r="M54" s="45"/>
      <c r="N54" s="45"/>
    </row>
    <row r="55" spans="1:14" x14ac:dyDescent="0.25">
      <c r="M55" s="45"/>
      <c r="N55" s="45"/>
    </row>
    <row r="56" spans="1:14" x14ac:dyDescent="0.25">
      <c r="M56" s="45"/>
      <c r="N56" s="45"/>
    </row>
    <row r="57" spans="1:14" x14ac:dyDescent="0.25">
      <c r="M57" s="45"/>
      <c r="N57" s="45"/>
    </row>
    <row r="58" spans="1:14" x14ac:dyDescent="0.25">
      <c r="M58" s="45"/>
      <c r="N58" s="45"/>
    </row>
    <row r="59" spans="1:14" x14ac:dyDescent="0.25">
      <c r="M59" s="45"/>
      <c r="N59" s="45"/>
    </row>
    <row r="60" spans="1:14" x14ac:dyDescent="0.25">
      <c r="M60" s="45"/>
      <c r="N60" s="45"/>
    </row>
    <row r="61" spans="1:14" x14ac:dyDescent="0.25">
      <c r="M61" s="45"/>
      <c r="N61" s="45"/>
    </row>
    <row r="62" spans="1:14" x14ac:dyDescent="0.25">
      <c r="M62" s="45"/>
      <c r="N62" s="45"/>
    </row>
  </sheetData>
  <mergeCells count="2">
    <mergeCell ref="H2:H3"/>
    <mergeCell ref="D3:E3"/>
  </mergeCells>
  <phoneticPr fontId="10" type="noConversion"/>
  <dataValidations count="5">
    <dataValidation type="list" allowBlank="1" showInputMessage="1" showErrorMessage="1" sqref="V5 H12:H49" xr:uid="{A35623FE-037D-4DF7-A661-0E4361914586}">
      <formula1>"Collection, Disposal"</formula1>
    </dataValidation>
    <dataValidation type="list" allowBlank="1" showInputMessage="1" showErrorMessage="1" sqref="W5 I12:I49" xr:uid="{A9C66864-8DFB-4768-865E-5129EEEDDA4C}">
      <formula1>"Main, Forcemain"</formula1>
    </dataValidation>
    <dataValidation type="list" allowBlank="1" showInputMessage="1" showErrorMessage="1" sqref="U5 G12:G49" xr:uid="{013A9560-D722-4034-96C8-47AC239EDE96}">
      <formula1>"SANITARY"</formula1>
    </dataValidation>
    <dataValidation type="list" allowBlank="1" showInputMessage="1" showErrorMessage="1" sqref="X5 J12:J49" xr:uid="{C663815B-AF10-4D21-93DD-5AB02518981E}">
      <formula1>"PVC, AC, HDPE, Other"</formula1>
    </dataValidation>
    <dataValidation type="list" allowBlank="1" showInputMessage="1" showErrorMessage="1" sqref="AB5 N12:N49" xr:uid="{60FE5E3B-B9CE-44AF-B756-E5F839E9B73D}">
      <formula1>"Excellent, Good, Fair, Poor"</formula1>
    </dataValidation>
  </dataValidations>
  <hyperlinks>
    <hyperlink ref="H2:H3" location="'TABLE OF CONTENTS'!A1" display="Return to Table of Contents" xr:uid="{B0085A97-787C-44D8-ACEC-FD9408D65F79}"/>
  </hyperlinks>
  <pageMargins left="0.7" right="0.7" top="0.75" bottom="0.75" header="0.3" footer="0.3"/>
  <pageSetup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A5C2-3754-477E-9761-85BDB613D235}">
  <sheetPr>
    <tabColor theme="7" tint="0.59999389629810485"/>
  </sheetPr>
  <dimension ref="A1:K41"/>
  <sheetViews>
    <sheetView zoomScale="80" zoomScaleNormal="80" workbookViewId="0">
      <selection activeCell="C24" sqref="C24"/>
    </sheetView>
  </sheetViews>
  <sheetFormatPr defaultColWidth="9.140625" defaultRowHeight="15" x14ac:dyDescent="0.25"/>
  <cols>
    <col min="1" max="1" width="21.5703125" style="3" customWidth="1"/>
    <col min="2" max="2" width="19.28515625" style="3" bestFit="1" customWidth="1"/>
    <col min="3" max="3" width="59.7109375" style="3" bestFit="1" customWidth="1"/>
    <col min="4" max="4" width="15.7109375" style="3" bestFit="1" customWidth="1"/>
    <col min="5" max="5" width="19.28515625" style="3" customWidth="1"/>
    <col min="6" max="6" width="23" style="3" bestFit="1" customWidth="1"/>
    <col min="7" max="7" width="13.5703125" style="24" customWidth="1"/>
    <col min="8" max="8" width="12.140625" style="3" bestFit="1" customWidth="1"/>
    <col min="9" max="9" width="12.140625" style="24" customWidth="1"/>
    <col min="10" max="10" width="16.140625" style="3" bestFit="1" customWidth="1"/>
    <col min="11" max="11" width="13.5703125" style="3" bestFit="1" customWidth="1"/>
    <col min="12" max="16384" width="9.140625" style="3"/>
  </cols>
  <sheetData>
    <row r="1" spans="1:11" x14ac:dyDescent="0.25">
      <c r="D1" s="24"/>
    </row>
    <row r="2" spans="1:11" ht="15.75" x14ac:dyDescent="0.25">
      <c r="D2" s="421" t="s">
        <v>130</v>
      </c>
      <c r="F2" s="1" t="s">
        <v>427</v>
      </c>
      <c r="G2" s="1" t="s">
        <v>428</v>
      </c>
      <c r="H2" s="51" t="s">
        <v>439</v>
      </c>
    </row>
    <row r="3" spans="1:11" x14ac:dyDescent="0.25">
      <c r="D3" s="422"/>
      <c r="F3" s="3" t="s">
        <v>292</v>
      </c>
      <c r="G3" s="162" t="s">
        <v>437</v>
      </c>
      <c r="H3" s="3" t="s">
        <v>438</v>
      </c>
    </row>
    <row r="4" spans="1:11" x14ac:dyDescent="0.25">
      <c r="F4" s="3" t="s">
        <v>103</v>
      </c>
      <c r="G4" s="162" t="s">
        <v>437</v>
      </c>
      <c r="H4" s="3" t="s">
        <v>438</v>
      </c>
      <c r="I4" s="10"/>
      <c r="J4" s="10"/>
      <c r="K4" s="10"/>
    </row>
    <row r="5" spans="1:11" x14ac:dyDescent="0.25">
      <c r="F5" s="3" t="s">
        <v>426</v>
      </c>
      <c r="G5" s="162" t="s">
        <v>437</v>
      </c>
      <c r="H5" s="3" t="s">
        <v>438</v>
      </c>
      <c r="I5" s="10"/>
      <c r="J5" s="10"/>
      <c r="K5" s="10"/>
    </row>
    <row r="6" spans="1:11" s="24" customFormat="1" x14ac:dyDescent="0.25">
      <c r="F6" s="3" t="s">
        <v>104</v>
      </c>
      <c r="G6" s="162" t="s">
        <v>437</v>
      </c>
      <c r="H6" s="24" t="s">
        <v>438</v>
      </c>
      <c r="I6" s="10"/>
      <c r="J6" s="10"/>
      <c r="K6" s="10"/>
    </row>
    <row r="7" spans="1:11" s="24" customFormat="1" x14ac:dyDescent="0.25">
      <c r="F7" s="3" t="s">
        <v>361</v>
      </c>
      <c r="G7" s="162" t="s">
        <v>431</v>
      </c>
      <c r="H7" s="24" t="s">
        <v>429</v>
      </c>
      <c r="I7" s="10"/>
      <c r="J7" s="10"/>
      <c r="K7" s="10"/>
    </row>
    <row r="8" spans="1:11" s="24" customFormat="1" x14ac:dyDescent="0.25">
      <c r="F8" s="3" t="s">
        <v>105</v>
      </c>
      <c r="G8" s="162" t="s">
        <v>432</v>
      </c>
      <c r="H8" s="24" t="s">
        <v>267</v>
      </c>
      <c r="I8" s="10"/>
      <c r="J8" s="10"/>
      <c r="K8" s="10"/>
    </row>
    <row r="9" spans="1:11" s="24" customFormat="1" x14ac:dyDescent="0.25">
      <c r="F9" s="3" t="s">
        <v>106</v>
      </c>
      <c r="G9" s="162" t="s">
        <v>431</v>
      </c>
      <c r="H9" s="24" t="s">
        <v>429</v>
      </c>
      <c r="I9" s="10"/>
      <c r="J9" s="10"/>
      <c r="K9" s="10"/>
    </row>
    <row r="10" spans="1:11" s="24" customFormat="1" x14ac:dyDescent="0.25">
      <c r="F10" s="24" t="s">
        <v>425</v>
      </c>
      <c r="G10" s="162" t="s">
        <v>430</v>
      </c>
      <c r="H10" s="24" t="s">
        <v>433</v>
      </c>
      <c r="I10" s="10"/>
      <c r="J10" s="10"/>
      <c r="K10" s="10"/>
    </row>
    <row r="11" spans="1:11" s="24" customFormat="1" x14ac:dyDescent="0.25">
      <c r="F11" s="24" t="s">
        <v>114</v>
      </c>
      <c r="G11" s="162" t="s">
        <v>430</v>
      </c>
      <c r="H11" s="24" t="s">
        <v>434</v>
      </c>
      <c r="I11" s="10"/>
      <c r="J11" s="10"/>
      <c r="K11" s="10"/>
    </row>
    <row r="12" spans="1:11" x14ac:dyDescent="0.25">
      <c r="F12" s="3" t="s">
        <v>110</v>
      </c>
      <c r="G12" s="162" t="s">
        <v>431</v>
      </c>
      <c r="H12" s="3" t="s">
        <v>429</v>
      </c>
      <c r="I12" s="10"/>
      <c r="J12" s="10"/>
      <c r="K12" s="10"/>
    </row>
    <row r="13" spans="1:11" x14ac:dyDescent="0.25">
      <c r="A13" s="3" t="s">
        <v>8</v>
      </c>
      <c r="F13" s="3" t="s">
        <v>111</v>
      </c>
      <c r="G13" s="162" t="s">
        <v>435</v>
      </c>
      <c r="H13" s="3" t="s">
        <v>436</v>
      </c>
      <c r="I13" s="10"/>
      <c r="J13" s="10"/>
      <c r="K13" s="10"/>
    </row>
    <row r="14" spans="1:11" ht="15.75" x14ac:dyDescent="0.25">
      <c r="A14" s="1" t="s">
        <v>202</v>
      </c>
      <c r="F14" s="3" t="s">
        <v>297</v>
      </c>
      <c r="G14" s="254" t="s">
        <v>437</v>
      </c>
      <c r="H14" s="3" t="s">
        <v>438</v>
      </c>
      <c r="K14" s="11"/>
    </row>
    <row r="15" spans="1:11" s="24" customFormat="1" ht="15.75" x14ac:dyDescent="0.25">
      <c r="A15" s="1" t="s">
        <v>201</v>
      </c>
      <c r="G15" s="10"/>
      <c r="K15" s="47"/>
    </row>
    <row r="16" spans="1:11" x14ac:dyDescent="0.25">
      <c r="A16" s="45"/>
      <c r="B16" s="45"/>
      <c r="C16" s="45"/>
      <c r="D16" s="25"/>
      <c r="E16" s="25"/>
      <c r="F16" s="25"/>
      <c r="G16" s="25"/>
      <c r="H16" s="45"/>
      <c r="I16" s="45"/>
      <c r="J16" s="45"/>
    </row>
    <row r="17" spans="1:11" ht="54.95" customHeight="1" x14ac:dyDescent="0.25">
      <c r="A17" s="294" t="s">
        <v>198</v>
      </c>
      <c r="B17" s="294" t="s">
        <v>199</v>
      </c>
      <c r="C17" s="130" t="s">
        <v>200</v>
      </c>
      <c r="D17" s="295" t="s">
        <v>5</v>
      </c>
      <c r="E17" s="295" t="s">
        <v>6</v>
      </c>
      <c r="F17" s="295" t="s">
        <v>7</v>
      </c>
      <c r="G17" s="295" t="s">
        <v>377</v>
      </c>
      <c r="H17" s="296" t="s">
        <v>376</v>
      </c>
      <c r="I17" s="296" t="s">
        <v>393</v>
      </c>
      <c r="J17" s="296" t="s">
        <v>117</v>
      </c>
      <c r="K17" s="6" t="s">
        <v>118</v>
      </c>
    </row>
    <row r="18" spans="1:11" s="111" customFormat="1" x14ac:dyDescent="0.25">
      <c r="A18" s="283" t="s">
        <v>483</v>
      </c>
      <c r="B18" s="283"/>
      <c r="C18" s="303" t="s">
        <v>324</v>
      </c>
      <c r="D18" s="285" t="s">
        <v>34</v>
      </c>
      <c r="E18" s="285" t="s">
        <v>112</v>
      </c>
      <c r="F18" s="285" t="s">
        <v>104</v>
      </c>
      <c r="G18" s="285"/>
      <c r="H18" s="304"/>
      <c r="I18" s="305" t="str">
        <f>IFERROR(VLOOKUP(Table13567[[#This Row],[ASSET COMPONENT]],Table10[],3,FALSE), " ")</f>
        <v>m3/s</v>
      </c>
      <c r="J18" s="306">
        <v>1999</v>
      </c>
      <c r="K18" s="284" t="s">
        <v>323</v>
      </c>
    </row>
    <row r="19" spans="1:11" s="111" customFormat="1" x14ac:dyDescent="0.25">
      <c r="A19" s="283" t="s">
        <v>521</v>
      </c>
      <c r="B19" s="283"/>
      <c r="C19" s="303" t="s">
        <v>520</v>
      </c>
      <c r="D19" s="285" t="s">
        <v>34</v>
      </c>
      <c r="E19" s="285" t="s">
        <v>112</v>
      </c>
      <c r="F19" s="285" t="s">
        <v>398</v>
      </c>
      <c r="G19" s="285" t="s">
        <v>522</v>
      </c>
      <c r="H19" s="304"/>
      <c r="I19" s="305" t="str">
        <f>IFERROR(VLOOKUP(Table13567[[#This Row],[ASSET COMPONENT]],Table10[],3,FALSE), " ")</f>
        <v xml:space="preserve"> </v>
      </c>
      <c r="J19" s="306"/>
      <c r="K19" s="284"/>
    </row>
    <row r="20" spans="1:11" s="24" customFormat="1" x14ac:dyDescent="0.25">
      <c r="A20" s="202"/>
      <c r="B20" s="202"/>
      <c r="C20" s="299"/>
      <c r="D20" s="282"/>
      <c r="E20" s="282"/>
      <c r="F20" s="285"/>
      <c r="G20" s="282"/>
      <c r="H20" s="300"/>
      <c r="I20" s="305" t="str">
        <f>IFERROR(VLOOKUP(Table13567[[#This Row],[ASSET COMPONENT]],Table10[],3,FALSE), " ")</f>
        <v xml:space="preserve"> </v>
      </c>
      <c r="J20" s="301"/>
      <c r="K20" s="225"/>
    </row>
    <row r="21" spans="1:11" s="24" customFormat="1" x14ac:dyDescent="0.25">
      <c r="A21" s="202"/>
      <c r="B21" s="202"/>
      <c r="C21" s="299"/>
      <c r="D21" s="282"/>
      <c r="E21" s="282"/>
      <c r="F21" s="285"/>
      <c r="G21" s="282"/>
      <c r="H21" s="300"/>
      <c r="I21" s="305" t="str">
        <f>IFERROR(VLOOKUP(Table13567[[#This Row],[ASSET COMPONENT]],Table10[],3,FALSE), " ")</f>
        <v xml:space="preserve"> </v>
      </c>
      <c r="J21" s="301"/>
      <c r="K21" s="225"/>
    </row>
    <row r="22" spans="1:11" s="24" customFormat="1" x14ac:dyDescent="0.25">
      <c r="A22" s="202"/>
      <c r="B22" s="202"/>
      <c r="C22" s="202"/>
      <c r="D22" s="282"/>
      <c r="E22" s="282"/>
      <c r="F22" s="285"/>
      <c r="G22" s="282"/>
      <c r="H22" s="282"/>
      <c r="I22" s="305" t="str">
        <f>IFERROR(VLOOKUP(Table13567[[#This Row],[ASSET COMPONENT]],Table10[],3,FALSE), " ")</f>
        <v xml:space="preserve"> </v>
      </c>
      <c r="J22" s="202"/>
      <c r="K22" s="225"/>
    </row>
    <row r="23" spans="1:11" s="24" customFormat="1" x14ac:dyDescent="0.25">
      <c r="A23" s="202"/>
      <c r="B23" s="226"/>
      <c r="C23" s="202"/>
      <c r="D23" s="282"/>
      <c r="E23" s="282"/>
      <c r="F23" s="285"/>
      <c r="G23" s="282"/>
      <c r="H23" s="282"/>
      <c r="I23" s="305" t="str">
        <f>IFERROR(VLOOKUP(Table13567[[#This Row],[ASSET COMPONENT]],Table10[],3,FALSE), " ")</f>
        <v xml:space="preserve"> </v>
      </c>
      <c r="J23" s="202"/>
      <c r="K23" s="225"/>
    </row>
    <row r="24" spans="1:11" s="24" customFormat="1" x14ac:dyDescent="0.25">
      <c r="A24" s="202"/>
      <c r="B24" s="202"/>
      <c r="C24" s="202"/>
      <c r="D24" s="282"/>
      <c r="E24" s="282"/>
      <c r="F24" s="285"/>
      <c r="G24" s="282"/>
      <c r="H24" s="282"/>
      <c r="I24" s="305" t="str">
        <f>IFERROR(VLOOKUP(Table13567[[#This Row],[ASSET COMPONENT]],Table10[],3,FALSE), " ")</f>
        <v xml:space="preserve"> </v>
      </c>
      <c r="J24" s="202"/>
      <c r="K24" s="225"/>
    </row>
    <row r="25" spans="1:11" s="24" customFormat="1" x14ac:dyDescent="0.25">
      <c r="A25" s="202"/>
      <c r="B25" s="202"/>
      <c r="C25" s="202"/>
      <c r="D25" s="282"/>
      <c r="E25" s="282"/>
      <c r="F25" s="285"/>
      <c r="G25" s="282"/>
      <c r="H25" s="282"/>
      <c r="I25" s="305" t="str">
        <f>IFERROR(VLOOKUP(Table13567[[#This Row],[ASSET COMPONENT]],Table10[],3,FALSE), " ")</f>
        <v xml:space="preserve"> </v>
      </c>
      <c r="J25" s="202"/>
      <c r="K25" s="225"/>
    </row>
    <row r="26" spans="1:11" s="24" customFormat="1" x14ac:dyDescent="0.25">
      <c r="A26" s="202"/>
      <c r="B26" s="202"/>
      <c r="C26" s="202"/>
      <c r="D26" s="282"/>
      <c r="E26" s="282"/>
      <c r="F26" s="285"/>
      <c r="G26" s="282"/>
      <c r="H26" s="282"/>
      <c r="I26" s="305" t="str">
        <f>IFERROR(VLOOKUP(Table13567[[#This Row],[ASSET COMPONENT]],Table10[],3,FALSE), " ")</f>
        <v xml:space="preserve"> </v>
      </c>
      <c r="J26" s="202"/>
      <c r="K26" s="225"/>
    </row>
    <row r="27" spans="1:11" s="24" customFormat="1" x14ac:dyDescent="0.25">
      <c r="A27" s="202"/>
      <c r="B27" s="202"/>
      <c r="C27" s="202"/>
      <c r="D27" s="282"/>
      <c r="E27" s="282"/>
      <c r="F27" s="285"/>
      <c r="G27" s="282"/>
      <c r="H27" s="282"/>
      <c r="I27" s="305" t="str">
        <f>IFERROR(VLOOKUP(Table13567[[#This Row],[ASSET COMPONENT]],Table10[],3,FALSE), " ")</f>
        <v xml:space="preserve"> </v>
      </c>
      <c r="J27" s="202"/>
      <c r="K27" s="225"/>
    </row>
    <row r="28" spans="1:11" s="24" customFormat="1" x14ac:dyDescent="0.25">
      <c r="A28" s="202"/>
      <c r="B28" s="202"/>
      <c r="C28" s="202"/>
      <c r="D28" s="282"/>
      <c r="E28" s="282"/>
      <c r="F28" s="285"/>
      <c r="G28" s="282"/>
      <c r="H28" s="300"/>
      <c r="I28" s="305" t="str">
        <f>IFERROR(VLOOKUP(Table13567[[#This Row],[ASSET COMPONENT]],Table10[],3,FALSE), " ")</f>
        <v xml:space="preserve"> </v>
      </c>
      <c r="J28" s="301"/>
      <c r="K28" s="225"/>
    </row>
    <row r="29" spans="1:11" s="24" customFormat="1" x14ac:dyDescent="0.25">
      <c r="A29" s="302"/>
      <c r="B29" s="202"/>
      <c r="C29" s="202"/>
      <c r="D29" s="282"/>
      <c r="E29" s="282"/>
      <c r="F29" s="285"/>
      <c r="G29" s="282"/>
      <c r="H29" s="300"/>
      <c r="I29" s="305" t="str">
        <f>IFERROR(VLOOKUP(Table13567[[#This Row],[ASSET COMPONENT]],Table10[],3,FALSE), " ")</f>
        <v xml:space="preserve"> </v>
      </c>
      <c r="J29" s="301"/>
      <c r="K29" s="225"/>
    </row>
    <row r="30" spans="1:11" s="24" customFormat="1" x14ac:dyDescent="0.25">
      <c r="A30" s="202"/>
      <c r="B30" s="202"/>
      <c r="C30" s="202"/>
      <c r="D30" s="282"/>
      <c r="E30" s="282"/>
      <c r="F30" s="285"/>
      <c r="G30" s="282"/>
      <c r="H30" s="300"/>
      <c r="I30" s="305" t="str">
        <f>IFERROR(VLOOKUP(Table13567[[#This Row],[ASSET COMPONENT]],Table10[],3,FALSE), " ")</f>
        <v xml:space="preserve"> </v>
      </c>
      <c r="J30" s="301"/>
      <c r="K30" s="225"/>
    </row>
    <row r="31" spans="1:11" s="24" customFormat="1" x14ac:dyDescent="0.25">
      <c r="A31" s="202"/>
      <c r="B31" s="202"/>
      <c r="C31" s="202"/>
      <c r="D31" s="282"/>
      <c r="E31" s="282"/>
      <c r="F31" s="285"/>
      <c r="G31" s="282"/>
      <c r="H31" s="282"/>
      <c r="I31" s="305" t="str">
        <f>IFERROR(VLOOKUP(Table13567[[#This Row],[ASSET COMPONENT]],Table10[],3,FALSE), " ")</f>
        <v xml:space="preserve"> </v>
      </c>
      <c r="J31" s="301"/>
      <c r="K31" s="225"/>
    </row>
    <row r="32" spans="1:11" s="24" customFormat="1" x14ac:dyDescent="0.25">
      <c r="A32" s="202"/>
      <c r="B32" s="202"/>
      <c r="C32" s="202"/>
      <c r="D32" s="282"/>
      <c r="E32" s="282"/>
      <c r="F32" s="285"/>
      <c r="G32" s="282"/>
      <c r="H32" s="300"/>
      <c r="I32" s="305" t="str">
        <f>IFERROR(VLOOKUP(Table13567[[#This Row],[ASSET COMPONENT]],Table10[],3,FALSE), " ")</f>
        <v xml:space="preserve"> </v>
      </c>
      <c r="J32" s="301"/>
      <c r="K32" s="225"/>
    </row>
    <row r="33" spans="1:11" s="24" customFormat="1" x14ac:dyDescent="0.25">
      <c r="A33" s="202"/>
      <c r="B33" s="202"/>
      <c r="C33" s="202"/>
      <c r="D33" s="282"/>
      <c r="E33" s="282"/>
      <c r="F33" s="285"/>
      <c r="G33" s="282"/>
      <c r="H33" s="300"/>
      <c r="I33" s="305" t="str">
        <f>IFERROR(VLOOKUP(Table13567[[#This Row],[ASSET COMPONENT]],Table10[],3,FALSE), " ")</f>
        <v xml:space="preserve"> </v>
      </c>
      <c r="J33" s="301"/>
      <c r="K33" s="225"/>
    </row>
    <row r="34" spans="1:11" s="24" customFormat="1" x14ac:dyDescent="0.25">
      <c r="A34" s="202"/>
      <c r="B34" s="202"/>
      <c r="C34" s="202"/>
      <c r="D34" s="282"/>
      <c r="E34" s="282"/>
      <c r="F34" s="285"/>
      <c r="G34" s="282"/>
      <c r="H34" s="300"/>
      <c r="I34" s="305" t="str">
        <f>IFERROR(VLOOKUP(Table13567[[#This Row],[ASSET COMPONENT]],Table10[],3,FALSE), " ")</f>
        <v xml:space="preserve"> </v>
      </c>
      <c r="J34" s="301"/>
      <c r="K34" s="225"/>
    </row>
    <row r="35" spans="1:11" x14ac:dyDescent="0.25">
      <c r="A35" s="202"/>
      <c r="B35" s="202"/>
      <c r="C35" s="202"/>
      <c r="D35" s="282"/>
      <c r="E35" s="282"/>
      <c r="F35" s="285"/>
      <c r="G35" s="282"/>
      <c r="H35" s="282"/>
      <c r="I35" s="305" t="str">
        <f>IFERROR(VLOOKUP(Table13567[[#This Row],[ASSET COMPONENT]],Table10[],3,FALSE), " ")</f>
        <v xml:space="preserve"> </v>
      </c>
      <c r="J35" s="301"/>
      <c r="K35" s="225"/>
    </row>
    <row r="36" spans="1:11" x14ac:dyDescent="0.25">
      <c r="A36" s="202"/>
      <c r="B36" s="202"/>
      <c r="C36" s="202"/>
      <c r="D36" s="282"/>
      <c r="E36" s="282"/>
      <c r="F36" s="285"/>
      <c r="G36" s="282"/>
      <c r="H36" s="282"/>
      <c r="I36" s="305" t="str">
        <f>IFERROR(VLOOKUP(Table13567[[#This Row],[ASSET COMPONENT]],Table10[],3,FALSE), " ")</f>
        <v xml:space="preserve"> </v>
      </c>
      <c r="J36" s="301"/>
      <c r="K36" s="225"/>
    </row>
    <row r="37" spans="1:11" x14ac:dyDescent="0.25">
      <c r="A37" s="202"/>
      <c r="B37" s="202"/>
      <c r="C37" s="202"/>
      <c r="D37" s="282"/>
      <c r="E37" s="282"/>
      <c r="F37" s="285"/>
      <c r="G37" s="282"/>
      <c r="H37" s="282"/>
      <c r="I37" s="305" t="str">
        <f>IFERROR(VLOOKUP(Table13567[[#This Row],[ASSET COMPONENT]],Table10[],3,FALSE), " ")</f>
        <v xml:space="preserve"> </v>
      </c>
      <c r="J37" s="301"/>
      <c r="K37" s="225"/>
    </row>
    <row r="38" spans="1:11" s="24" customFormat="1" x14ac:dyDescent="0.25">
      <c r="A38" s="202"/>
      <c r="B38" s="202"/>
      <c r="C38" s="202"/>
      <c r="D38" s="282"/>
      <c r="E38" s="282"/>
      <c r="F38" s="285"/>
      <c r="G38" s="282"/>
      <c r="H38" s="282"/>
      <c r="I38" s="305" t="str">
        <f>IFERROR(VLOOKUP(Table13567[[#This Row],[ASSET COMPONENT]],Table10[],3,FALSE), " ")</f>
        <v xml:space="preserve"> </v>
      </c>
      <c r="J38" s="202"/>
      <c r="K38" s="225"/>
    </row>
    <row r="39" spans="1:11" x14ac:dyDescent="0.25">
      <c r="A39" s="26"/>
      <c r="B39" s="26"/>
      <c r="C39" s="26"/>
      <c r="D39" s="205"/>
      <c r="E39" s="205"/>
      <c r="F39" s="285"/>
      <c r="G39" s="205"/>
      <c r="H39" s="205"/>
      <c r="I39" s="219" t="str">
        <f>IFERROR(VLOOKUP(Table13567[[#This Row],[ASSET COMPONENT]],Table10[],3,FALSE), " ")</f>
        <v xml:space="preserve"> </v>
      </c>
      <c r="J39" s="26"/>
      <c r="K39" s="27"/>
    </row>
    <row r="41" spans="1:11" x14ac:dyDescent="0.25">
      <c r="A41" s="132"/>
    </row>
  </sheetData>
  <mergeCells count="1">
    <mergeCell ref="D2:D3"/>
  </mergeCells>
  <phoneticPr fontId="10" type="noConversion"/>
  <dataValidations count="4">
    <dataValidation type="list" allowBlank="1" showInputMessage="1" showErrorMessage="1" sqref="K18:K39" xr:uid="{A0213B32-DE3E-496B-98FA-34AADFDFE7EB}">
      <formula1>"Excellent, Good, Fair, Poor"</formula1>
    </dataValidation>
    <dataValidation type="list" allowBlank="1" showInputMessage="1" showErrorMessage="1" sqref="E18:E39" xr:uid="{CCFD0B64-536E-4F21-A011-67D83E112645}">
      <formula1>"Treatment, Storage, Supply, Distribution, Collection"</formula1>
    </dataValidation>
    <dataValidation type="list" allowBlank="1" showInputMessage="1" showErrorMessage="1" sqref="D18:D39" xr:uid="{2E91F462-A38D-4614-ABAD-E1EA42410F7E}">
      <formula1>"WATER, SANITARY"</formula1>
    </dataValidation>
    <dataValidation type="list" allowBlank="1" showInputMessage="1" showErrorMessage="1" sqref="F18:F39" xr:uid="{A43DACB8-8995-4AEB-8817-9E53B3207E07}">
      <formula1>"Chlorine Disinfection, PRV, Air Release Valve, Backflow Preventor, Water Treatment Plant, Well, Boost Station, Reservoir, Lift Station, Lagoon, Community Septic Tank, Community Septic Field, Sewage Treatment Plant"</formula1>
    </dataValidation>
  </dataValidations>
  <hyperlinks>
    <hyperlink ref="D2:D3" location="'TABLE OF CONTENTS'!A1" display="Return to Table of Contents" xr:uid="{9AADE68A-E622-4880-ACC9-7295FB478D00}"/>
  </hyperlinks>
  <pageMargins left="0.7" right="0.7" top="0.75" bottom="0.75" header="0.3" footer="0.3"/>
  <pageSetup orientation="portrait"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23D1A-4B5C-4A2B-A474-280D4CE2F01F}">
  <dimension ref="A1:F37"/>
  <sheetViews>
    <sheetView zoomScale="75" zoomScaleNormal="75" workbookViewId="0">
      <selection activeCell="D35" sqref="D35"/>
    </sheetView>
  </sheetViews>
  <sheetFormatPr defaultRowHeight="15" x14ac:dyDescent="0.25"/>
  <cols>
    <col min="1" max="1" width="16.5703125" customWidth="1"/>
    <col min="2" max="2" width="19.5703125" bestFit="1" customWidth="1"/>
    <col min="3" max="3" width="13.7109375" bestFit="1" customWidth="1"/>
    <col min="4" max="4" width="60.140625" bestFit="1" customWidth="1"/>
    <col min="5" max="5" width="16.140625" bestFit="1" customWidth="1"/>
    <col min="6" max="6" width="19.7109375" bestFit="1" customWidth="1"/>
  </cols>
  <sheetData>
    <row r="1" spans="1:6" s="24" customFormat="1" x14ac:dyDescent="0.25"/>
    <row r="2" spans="1:6" s="24" customFormat="1" x14ac:dyDescent="0.25"/>
    <row r="3" spans="1:6" s="24" customFormat="1" x14ac:dyDescent="0.25"/>
    <row r="4" spans="1:6" s="24" customFormat="1" x14ac:dyDescent="0.25"/>
    <row r="5" spans="1:6" s="24" customFormat="1" x14ac:dyDescent="0.25"/>
    <row r="6" spans="1:6" s="24" customFormat="1" x14ac:dyDescent="0.25"/>
    <row r="7" spans="1:6" s="24" customFormat="1" ht="15.75" customHeight="1" x14ac:dyDescent="0.25">
      <c r="A7" s="424" t="s">
        <v>509</v>
      </c>
      <c r="B7" s="424"/>
      <c r="C7" s="424"/>
      <c r="D7" s="424"/>
      <c r="E7" s="260"/>
      <c r="F7" s="260"/>
    </row>
    <row r="8" spans="1:6" s="24" customFormat="1" ht="15.75" customHeight="1" x14ac:dyDescent="0.25">
      <c r="A8" s="318"/>
      <c r="B8" s="318"/>
      <c r="C8" s="318"/>
      <c r="D8" s="318"/>
      <c r="E8" s="260"/>
      <c r="F8" s="260"/>
    </row>
    <row r="9" spans="1:6" s="24" customFormat="1" x14ac:dyDescent="0.25"/>
    <row r="10" spans="1:6" hidden="1" x14ac:dyDescent="0.25">
      <c r="A10" s="182" t="s">
        <v>444</v>
      </c>
      <c r="B10" s="24" t="s">
        <v>512</v>
      </c>
    </row>
    <row r="12" spans="1:6" x14ac:dyDescent="0.25">
      <c r="A12" s="182" t="s">
        <v>5</v>
      </c>
      <c r="B12" s="182" t="s">
        <v>6</v>
      </c>
      <c r="C12" s="182" t="s">
        <v>445</v>
      </c>
      <c r="D12" s="182" t="s">
        <v>132</v>
      </c>
      <c r="E12" s="182" t="s">
        <v>179</v>
      </c>
    </row>
    <row r="13" spans="1:6" x14ac:dyDescent="0.25">
      <c r="A13" s="24" t="s">
        <v>34</v>
      </c>
      <c r="B13" s="24" t="s">
        <v>112</v>
      </c>
      <c r="C13" s="24" t="s">
        <v>163</v>
      </c>
      <c r="D13" s="24" t="s">
        <v>164</v>
      </c>
      <c r="E13" s="24" t="s">
        <v>181</v>
      </c>
    </row>
    <row r="14" spans="1:6" x14ac:dyDescent="0.25">
      <c r="C14" s="24" t="s">
        <v>165</v>
      </c>
      <c r="D14" s="24" t="s">
        <v>166</v>
      </c>
      <c r="E14" s="24" t="s">
        <v>182</v>
      </c>
    </row>
    <row r="15" spans="1:6" x14ac:dyDescent="0.25">
      <c r="C15" s="24" t="s">
        <v>167</v>
      </c>
      <c r="D15" s="24" t="s">
        <v>168</v>
      </c>
      <c r="E15" s="24" t="s">
        <v>180</v>
      </c>
    </row>
    <row r="16" spans="1:6" x14ac:dyDescent="0.25">
      <c r="C16" s="24" t="s">
        <v>35</v>
      </c>
      <c r="D16" s="24" t="s">
        <v>331</v>
      </c>
      <c r="E16" s="24" t="s">
        <v>182</v>
      </c>
    </row>
    <row r="17" spans="1:5" x14ac:dyDescent="0.25">
      <c r="C17" s="24" t="s">
        <v>36</v>
      </c>
      <c r="D17" s="24" t="s">
        <v>327</v>
      </c>
      <c r="E17" s="24" t="s">
        <v>463</v>
      </c>
    </row>
    <row r="18" spans="1:5" x14ac:dyDescent="0.25">
      <c r="C18" s="24" t="s">
        <v>37</v>
      </c>
      <c r="D18" s="24" t="s">
        <v>365</v>
      </c>
      <c r="E18" s="24" t="s">
        <v>180</v>
      </c>
    </row>
    <row r="19" spans="1:5" x14ac:dyDescent="0.25">
      <c r="C19" s="24" t="s">
        <v>38</v>
      </c>
      <c r="D19" s="24" t="s">
        <v>330</v>
      </c>
      <c r="E19" s="24" t="s">
        <v>180</v>
      </c>
    </row>
    <row r="20" spans="1:5" x14ac:dyDescent="0.25">
      <c r="C20" s="24" t="s">
        <v>400</v>
      </c>
      <c r="D20" s="24" t="s">
        <v>407</v>
      </c>
      <c r="E20" s="24" t="s">
        <v>414</v>
      </c>
    </row>
    <row r="21" spans="1:5" x14ac:dyDescent="0.25">
      <c r="C21" s="24" t="s">
        <v>401</v>
      </c>
      <c r="D21" s="24" t="s">
        <v>410</v>
      </c>
      <c r="E21" s="24" t="s">
        <v>414</v>
      </c>
    </row>
    <row r="22" spans="1:5" x14ac:dyDescent="0.25">
      <c r="C22" s="24" t="s">
        <v>402</v>
      </c>
      <c r="D22" s="24" t="s">
        <v>411</v>
      </c>
      <c r="E22" s="24" t="s">
        <v>414</v>
      </c>
    </row>
    <row r="23" spans="1:5" x14ac:dyDescent="0.25">
      <c r="C23" s="24" t="s">
        <v>403</v>
      </c>
      <c r="D23" s="24" t="s">
        <v>412</v>
      </c>
      <c r="E23" s="24" t="s">
        <v>413</v>
      </c>
    </row>
    <row r="24" spans="1:5" x14ac:dyDescent="0.25">
      <c r="C24" s="24" t="s">
        <v>404</v>
      </c>
      <c r="D24" s="24" t="s">
        <v>415</v>
      </c>
      <c r="E24" s="24" t="s">
        <v>414</v>
      </c>
    </row>
    <row r="25" spans="1:5" x14ac:dyDescent="0.25">
      <c r="C25" s="24" t="s">
        <v>405</v>
      </c>
      <c r="D25" s="24" t="s">
        <v>416</v>
      </c>
      <c r="E25" s="24" t="s">
        <v>414</v>
      </c>
    </row>
    <row r="26" spans="1:5" x14ac:dyDescent="0.25">
      <c r="C26" s="24" t="s">
        <v>406</v>
      </c>
      <c r="D26" s="24" t="s">
        <v>417</v>
      </c>
      <c r="E26" s="24" t="s">
        <v>414</v>
      </c>
    </row>
    <row r="27" spans="1:5" x14ac:dyDescent="0.25">
      <c r="A27" s="24" t="s">
        <v>26</v>
      </c>
      <c r="B27" s="24" t="s">
        <v>113</v>
      </c>
      <c r="C27" s="24" t="s">
        <v>39</v>
      </c>
      <c r="D27" s="24" t="s">
        <v>317</v>
      </c>
      <c r="E27" s="24" t="s">
        <v>181</v>
      </c>
    </row>
    <row r="28" spans="1:5" x14ac:dyDescent="0.25">
      <c r="C28" s="24" t="s">
        <v>40</v>
      </c>
      <c r="D28" s="24" t="s">
        <v>318</v>
      </c>
      <c r="E28" s="24" t="s">
        <v>182</v>
      </c>
    </row>
    <row r="29" spans="1:5" x14ac:dyDescent="0.25">
      <c r="C29" s="24" t="s">
        <v>41</v>
      </c>
      <c r="D29" s="24" t="s">
        <v>319</v>
      </c>
      <c r="E29" s="24" t="s">
        <v>183</v>
      </c>
    </row>
    <row r="30" spans="1:5" x14ac:dyDescent="0.25">
      <c r="C30" s="24" t="s">
        <v>42</v>
      </c>
      <c r="D30" s="24" t="s">
        <v>320</v>
      </c>
      <c r="E30" s="24" t="s">
        <v>186</v>
      </c>
    </row>
    <row r="31" spans="1:5" x14ac:dyDescent="0.25">
      <c r="C31" s="24" t="s">
        <v>43</v>
      </c>
      <c r="D31" s="24" t="s">
        <v>321</v>
      </c>
      <c r="E31" s="24" t="s">
        <v>180</v>
      </c>
    </row>
    <row r="32" spans="1:5" x14ac:dyDescent="0.25">
      <c r="C32" s="24" t="s">
        <v>44</v>
      </c>
      <c r="D32" s="24" t="s">
        <v>269</v>
      </c>
      <c r="E32" s="24" t="s">
        <v>180</v>
      </c>
    </row>
    <row r="33" spans="3:5" x14ac:dyDescent="0.25">
      <c r="C33" s="24" t="s">
        <v>3</v>
      </c>
      <c r="D33" s="24" t="s">
        <v>27</v>
      </c>
      <c r="E33" s="24" t="s">
        <v>180</v>
      </c>
    </row>
    <row r="34" spans="3:5" x14ac:dyDescent="0.25">
      <c r="C34" s="24" t="s">
        <v>28</v>
      </c>
      <c r="D34" s="24" t="s">
        <v>29</v>
      </c>
      <c r="E34" s="24" t="s">
        <v>187</v>
      </c>
    </row>
    <row r="35" spans="3:5" x14ac:dyDescent="0.25">
      <c r="C35" s="24" t="s">
        <v>30</v>
      </c>
      <c r="D35" s="24" t="s">
        <v>31</v>
      </c>
      <c r="E35" s="24" t="s">
        <v>188</v>
      </c>
    </row>
    <row r="36" spans="3:5" x14ac:dyDescent="0.25">
      <c r="C36" s="24" t="s">
        <v>32</v>
      </c>
      <c r="D36" s="24" t="s">
        <v>33</v>
      </c>
      <c r="E36" s="24" t="s">
        <v>414</v>
      </c>
    </row>
    <row r="37" spans="3:5" x14ac:dyDescent="0.25">
      <c r="C37" s="24" t="s">
        <v>340</v>
      </c>
      <c r="D37" s="24" t="s">
        <v>341</v>
      </c>
      <c r="E37" s="24" t="s">
        <v>180</v>
      </c>
    </row>
  </sheetData>
  <mergeCells count="1">
    <mergeCell ref="A7:D7"/>
  </mergeCell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4EC61-9497-4F6E-A35D-444756D352C9}">
  <sheetPr>
    <tabColor theme="9" tint="0.59999389629810485"/>
    <pageSetUpPr fitToPage="1"/>
  </sheetPr>
  <dimension ref="B1:BL64"/>
  <sheetViews>
    <sheetView zoomScale="75" zoomScaleNormal="75" workbookViewId="0">
      <selection activeCell="H21" sqref="H21"/>
    </sheetView>
  </sheetViews>
  <sheetFormatPr defaultRowHeight="15" x14ac:dyDescent="0.25"/>
  <cols>
    <col min="1" max="1" width="5" customWidth="1"/>
    <col min="2" max="2" width="12" customWidth="1"/>
    <col min="3" max="3" width="13.42578125" style="7" customWidth="1"/>
    <col min="4" max="4" width="60.140625" style="24" bestFit="1" customWidth="1"/>
    <col min="5" max="5" width="15.7109375" style="24" customWidth="1"/>
    <col min="6" max="6" width="12.7109375" hidden="1" customWidth="1"/>
    <col min="7" max="7" width="12.7109375" style="24" hidden="1" customWidth="1"/>
    <col min="8" max="8" width="11.140625" style="3" customWidth="1"/>
    <col min="9" max="9" width="12.7109375" bestFit="1" customWidth="1"/>
    <col min="10" max="10" width="10.5703125" hidden="1" customWidth="1"/>
    <col min="11" max="11" width="5" customWidth="1"/>
    <col min="12" max="14" width="5" bestFit="1" customWidth="1"/>
    <col min="15" max="18" width="5" customWidth="1"/>
    <col min="19" max="62" width="5.140625" customWidth="1"/>
    <col min="63" max="63" width="15.85546875" customWidth="1"/>
  </cols>
  <sheetData>
    <row r="1" spans="2:63" x14ac:dyDescent="0.25">
      <c r="E1" s="25"/>
      <c r="F1" s="25"/>
      <c r="G1" s="25"/>
      <c r="H1" s="25"/>
      <c r="J1" s="24"/>
      <c r="R1" s="313"/>
      <c r="S1" s="314"/>
      <c r="T1" s="315"/>
    </row>
    <row r="2" spans="2:63" ht="15" customHeight="1" x14ac:dyDescent="0.25">
      <c r="E2" s="216"/>
      <c r="F2" s="216"/>
      <c r="G2" s="216"/>
      <c r="H2" s="25"/>
      <c r="J2" s="24"/>
      <c r="R2" s="425" t="s">
        <v>130</v>
      </c>
      <c r="S2" s="426"/>
      <c r="T2" s="427"/>
    </row>
    <row r="3" spans="2:63" x14ac:dyDescent="0.25">
      <c r="E3" s="216"/>
      <c r="F3" s="216"/>
      <c r="G3" s="216"/>
      <c r="H3" s="25"/>
      <c r="J3" s="24"/>
      <c r="R3" s="428"/>
      <c r="S3" s="429"/>
      <c r="T3" s="430"/>
    </row>
    <row r="4" spans="2:63" ht="15.75" x14ac:dyDescent="0.25">
      <c r="F4" s="45"/>
      <c r="G4" s="45"/>
      <c r="H4" s="25"/>
      <c r="I4" s="24"/>
      <c r="J4" s="24"/>
      <c r="X4" s="446" t="s">
        <v>196</v>
      </c>
      <c r="Y4" s="447"/>
      <c r="Z4" s="447"/>
      <c r="AA4" s="447"/>
      <c r="AB4" s="447"/>
      <c r="AC4" s="447"/>
      <c r="AD4" s="447"/>
      <c r="AE4" s="447"/>
      <c r="AF4" s="447"/>
      <c r="AG4" s="447"/>
      <c r="AH4" s="448"/>
    </row>
    <row r="5" spans="2:63" ht="15.75" x14ac:dyDescent="0.25">
      <c r="X5" s="449" t="s">
        <v>468</v>
      </c>
      <c r="Y5" s="450"/>
      <c r="Z5" s="450"/>
      <c r="AA5" s="450"/>
      <c r="AB5" s="450"/>
      <c r="AC5" s="450"/>
      <c r="AD5" s="450"/>
      <c r="AE5" s="450"/>
      <c r="AF5" s="450"/>
      <c r="AG5" s="450"/>
      <c r="AH5" s="451"/>
    </row>
    <row r="6" spans="2:63" x14ac:dyDescent="0.25">
      <c r="U6" s="215"/>
      <c r="W6" s="24"/>
      <c r="X6" s="270" t="s">
        <v>469</v>
      </c>
      <c r="Y6" s="271"/>
      <c r="Z6" s="271"/>
      <c r="AA6" s="271"/>
      <c r="AB6" s="271"/>
      <c r="AC6" s="271"/>
      <c r="AD6" s="271"/>
      <c r="AE6" s="452">
        <f>BK16</f>
        <v>0</v>
      </c>
      <c r="AF6" s="452"/>
      <c r="AG6" s="452"/>
      <c r="AH6" s="453"/>
      <c r="AI6" s="215"/>
    </row>
    <row r="7" spans="2:63" s="24" customFormat="1" x14ac:dyDescent="0.25">
      <c r="C7" s="7"/>
      <c r="U7" s="215"/>
      <c r="X7" s="270" t="s">
        <v>470</v>
      </c>
      <c r="Y7" s="271"/>
      <c r="Z7" s="271"/>
      <c r="AA7" s="271"/>
      <c r="AB7" s="271"/>
      <c r="AC7" s="271"/>
      <c r="AD7" s="271"/>
      <c r="AE7" s="452">
        <f>BK17</f>
        <v>0</v>
      </c>
      <c r="AF7" s="452"/>
      <c r="AG7" s="452"/>
      <c r="AH7" s="453"/>
      <c r="AI7" s="215"/>
    </row>
    <row r="8" spans="2:63" s="24" customFormat="1" x14ac:dyDescent="0.25">
      <c r="C8" s="7"/>
      <c r="U8" s="215"/>
      <c r="X8" s="270" t="s">
        <v>501</v>
      </c>
      <c r="Y8" s="271"/>
      <c r="Z8" s="271"/>
      <c r="AA8" s="271"/>
      <c r="AB8" s="271"/>
      <c r="AC8" s="271"/>
      <c r="AD8" s="271"/>
      <c r="AE8" s="452">
        <f>BK18</f>
        <v>0</v>
      </c>
      <c r="AF8" s="452"/>
      <c r="AG8" s="452"/>
      <c r="AH8" s="453"/>
      <c r="AI8" s="215"/>
    </row>
    <row r="9" spans="2:63" s="24" customFormat="1" x14ac:dyDescent="0.25">
      <c r="C9" s="7"/>
      <c r="U9" s="215"/>
      <c r="X9" s="270" t="s">
        <v>189</v>
      </c>
      <c r="Y9" s="271"/>
      <c r="Z9" s="271"/>
      <c r="AA9" s="271"/>
      <c r="AB9" s="271"/>
      <c r="AC9" s="271"/>
      <c r="AD9" s="271"/>
      <c r="AE9" s="452">
        <f>SUM(Table2[Truck])</f>
        <v>0</v>
      </c>
      <c r="AF9" s="452"/>
      <c r="AG9" s="452"/>
      <c r="AH9" s="453"/>
      <c r="AI9" s="215"/>
    </row>
    <row r="10" spans="2:63" s="24" customFormat="1" x14ac:dyDescent="0.25">
      <c r="C10" s="7"/>
      <c r="U10" s="215"/>
      <c r="X10" s="431" t="s">
        <v>197</v>
      </c>
      <c r="Y10" s="432"/>
      <c r="Z10" s="432"/>
      <c r="AA10" s="432"/>
      <c r="AB10" s="432"/>
      <c r="AC10" s="432"/>
      <c r="AD10" s="432"/>
      <c r="AE10" s="457">
        <f>0.1*(SUM(Table2[Operator]))</f>
        <v>0</v>
      </c>
      <c r="AF10" s="457"/>
      <c r="AG10" s="457"/>
      <c r="AH10" s="458"/>
      <c r="AI10" s="148" t="s">
        <v>287</v>
      </c>
    </row>
    <row r="11" spans="2:63" s="24" customFormat="1" x14ac:dyDescent="0.25">
      <c r="C11" s="7"/>
      <c r="K11" s="148"/>
    </row>
    <row r="12" spans="2:63" s="24" customFormat="1" x14ac:dyDescent="0.25">
      <c r="C12" s="7"/>
      <c r="K12" s="148"/>
    </row>
    <row r="13" spans="2:63" x14ac:dyDescent="0.25">
      <c r="B13" s="24" t="s">
        <v>322</v>
      </c>
      <c r="F13" s="24"/>
      <c r="H13" s="24"/>
      <c r="I13" s="24"/>
    </row>
    <row r="14" spans="2:63" ht="15.75" x14ac:dyDescent="0.25">
      <c r="B14" s="1" t="s">
        <v>9</v>
      </c>
      <c r="C14" s="149"/>
      <c r="K14" s="51" t="s">
        <v>349</v>
      </c>
    </row>
    <row r="15" spans="2:63" s="24" customFormat="1" ht="15.75" x14ac:dyDescent="0.25">
      <c r="B15" s="1"/>
      <c r="C15" s="149"/>
      <c r="H15" s="456" t="s">
        <v>467</v>
      </c>
      <c r="I15" s="456"/>
      <c r="J15" s="273"/>
      <c r="K15" s="310">
        <f>SUM(Table2[1])</f>
        <v>0</v>
      </c>
      <c r="L15" s="310">
        <f>SUM(Table2[2])</f>
        <v>0</v>
      </c>
      <c r="M15" s="310">
        <f>SUM(Table2[3])</f>
        <v>0</v>
      </c>
      <c r="N15" s="310">
        <f>SUM(Table2[4])</f>
        <v>0</v>
      </c>
      <c r="O15" s="310">
        <f>SUM(Table2[5])</f>
        <v>0</v>
      </c>
      <c r="P15" s="310">
        <f>SUM(Table2[6])</f>
        <v>0</v>
      </c>
      <c r="Q15" s="310">
        <f>SUM(Table2[7])</f>
        <v>0</v>
      </c>
      <c r="R15" s="310">
        <f>SUM(Table2[8])</f>
        <v>0</v>
      </c>
      <c r="S15" s="310">
        <f>SUM(Table2[9])</f>
        <v>0</v>
      </c>
      <c r="T15" s="310">
        <f>SUM(Table2[10])</f>
        <v>0</v>
      </c>
      <c r="U15" s="310">
        <f>SUM(Table2[11])</f>
        <v>0</v>
      </c>
      <c r="V15" s="310">
        <f>SUM(Table2[12])</f>
        <v>0</v>
      </c>
      <c r="W15" s="310">
        <f>SUM(Table2[13])</f>
        <v>0</v>
      </c>
      <c r="X15" s="310">
        <f>SUM(Table2[14])</f>
        <v>0</v>
      </c>
      <c r="Y15" s="310">
        <f>SUM(Table2[15])</f>
        <v>0</v>
      </c>
      <c r="Z15" s="310">
        <f>SUM(Table2[16])</f>
        <v>0</v>
      </c>
      <c r="AA15" s="310">
        <f>SUM(Table2[17])</f>
        <v>0</v>
      </c>
      <c r="AB15" s="310">
        <f>SUM(Table2[18])</f>
        <v>0</v>
      </c>
      <c r="AC15" s="310">
        <f>SUM(Table2[19])</f>
        <v>0</v>
      </c>
      <c r="AD15" s="310">
        <f>SUM(Table2[20])</f>
        <v>0</v>
      </c>
      <c r="AE15" s="310">
        <f>SUM(Table2[21])</f>
        <v>0</v>
      </c>
      <c r="AF15" s="310">
        <f>SUM(Table2[22])</f>
        <v>0</v>
      </c>
      <c r="AG15" s="310">
        <f>SUM(Table2[23])</f>
        <v>0</v>
      </c>
      <c r="AH15" s="310">
        <f>SUM(Table2[24])</f>
        <v>0</v>
      </c>
      <c r="AI15" s="310">
        <f>SUM(Table2[25])</f>
        <v>0</v>
      </c>
      <c r="AJ15" s="310">
        <f>SUM(Table2[26])</f>
        <v>0</v>
      </c>
      <c r="AK15" s="310">
        <f>SUM(Table2[27])</f>
        <v>0</v>
      </c>
      <c r="AL15" s="310">
        <f>SUM(Table2[28])</f>
        <v>0</v>
      </c>
      <c r="AM15" s="310">
        <f>SUM(Table2[29])</f>
        <v>0</v>
      </c>
      <c r="AN15" s="310">
        <f>SUM(Table2[30])</f>
        <v>0</v>
      </c>
      <c r="AO15" s="310">
        <f>SUM(Table2[31])</f>
        <v>0</v>
      </c>
      <c r="AP15" s="310">
        <f>SUM(Table2[32])</f>
        <v>0</v>
      </c>
      <c r="AQ15" s="310">
        <f>SUM(Table2[33])</f>
        <v>0</v>
      </c>
      <c r="AR15" s="310">
        <f>SUM(Table2[34])</f>
        <v>0</v>
      </c>
      <c r="AS15" s="310">
        <f>SUM(Table2[35])</f>
        <v>0</v>
      </c>
      <c r="AT15" s="310">
        <f>SUM(Table2[36])</f>
        <v>0</v>
      </c>
      <c r="AU15" s="310">
        <f>SUM(Table2[37])</f>
        <v>0</v>
      </c>
      <c r="AV15" s="310">
        <f>SUM(Table2[38])</f>
        <v>0</v>
      </c>
      <c r="AW15" s="310">
        <f>SUM(Table2[39])</f>
        <v>0</v>
      </c>
      <c r="AX15" s="310">
        <f>SUM(Table2[40])</f>
        <v>0</v>
      </c>
      <c r="AY15" s="310">
        <f>SUM(Table2[41])</f>
        <v>0</v>
      </c>
      <c r="AZ15" s="310">
        <f>SUM(Table2[42])</f>
        <v>0</v>
      </c>
      <c r="BA15" s="310">
        <f>SUM(Table2[43])</f>
        <v>0</v>
      </c>
      <c r="BB15" s="310">
        <f>SUM(Table2[44])</f>
        <v>0</v>
      </c>
      <c r="BC15" s="310">
        <f>SUM(Table2[45])</f>
        <v>0</v>
      </c>
      <c r="BD15" s="310">
        <f>SUM(Table2[46])</f>
        <v>0</v>
      </c>
      <c r="BE15" s="310">
        <f>SUM(Table2[47])</f>
        <v>0</v>
      </c>
      <c r="BF15" s="310">
        <f>SUM(Table2[48])</f>
        <v>0</v>
      </c>
      <c r="BG15" s="310">
        <f>SUM(Table2[49])</f>
        <v>0</v>
      </c>
      <c r="BH15" s="310">
        <f>SUM(Table2[50])</f>
        <v>0</v>
      </c>
      <c r="BI15" s="310">
        <f>SUM(Table2[51])</f>
        <v>0</v>
      </c>
      <c r="BJ15" s="310">
        <f>SUM(Table2[52])</f>
        <v>0</v>
      </c>
      <c r="BK15" s="311" t="s">
        <v>468</v>
      </c>
    </row>
    <row r="16" spans="2:63" s="24" customFormat="1" ht="15.75" x14ac:dyDescent="0.25">
      <c r="B16" s="1"/>
      <c r="C16" s="149"/>
      <c r="H16" s="454" t="s">
        <v>503</v>
      </c>
      <c r="I16" s="454"/>
      <c r="J16" s="268"/>
      <c r="K16" s="268">
        <f>MIN('TABLE OF CONTENTS'!$K$18,K15)</f>
        <v>0</v>
      </c>
      <c r="L16" s="268">
        <f>MIN('TABLE OF CONTENTS'!$K$18,L15)</f>
        <v>0</v>
      </c>
      <c r="M16" s="268">
        <f>MIN('TABLE OF CONTENTS'!$K$18,M15)</f>
        <v>0</v>
      </c>
      <c r="N16" s="268">
        <f>MIN('TABLE OF CONTENTS'!$K$18,N15)</f>
        <v>0</v>
      </c>
      <c r="O16" s="268">
        <f>MIN('TABLE OF CONTENTS'!$K$18,O15)</f>
        <v>0</v>
      </c>
      <c r="P16" s="268">
        <f>MIN('TABLE OF CONTENTS'!$K$18,P15)</f>
        <v>0</v>
      </c>
      <c r="Q16" s="268">
        <f>MIN('TABLE OF CONTENTS'!$K$18,Q15)</f>
        <v>0</v>
      </c>
      <c r="R16" s="268">
        <f>MIN('TABLE OF CONTENTS'!$K$18,R15)</f>
        <v>0</v>
      </c>
      <c r="S16" s="268">
        <f>MIN('TABLE OF CONTENTS'!$K$18,S15)</f>
        <v>0</v>
      </c>
      <c r="T16" s="268">
        <f>MIN('TABLE OF CONTENTS'!$K$18,T15)</f>
        <v>0</v>
      </c>
      <c r="U16" s="268">
        <f>MIN('TABLE OF CONTENTS'!$K$18,U15)</f>
        <v>0</v>
      </c>
      <c r="V16" s="268">
        <f>MIN('TABLE OF CONTENTS'!$K$18,V15)</f>
        <v>0</v>
      </c>
      <c r="W16" s="268">
        <f>MIN('TABLE OF CONTENTS'!$K$18,W15)</f>
        <v>0</v>
      </c>
      <c r="X16" s="268">
        <f>MIN('TABLE OF CONTENTS'!$K$18,X15)</f>
        <v>0</v>
      </c>
      <c r="Y16" s="268">
        <f>MIN('TABLE OF CONTENTS'!$K$18,Y15)</f>
        <v>0</v>
      </c>
      <c r="Z16" s="268">
        <f>MIN('TABLE OF CONTENTS'!$K$18,Z15)</f>
        <v>0</v>
      </c>
      <c r="AA16" s="268">
        <f>MIN('TABLE OF CONTENTS'!$K$18,AA15)</f>
        <v>0</v>
      </c>
      <c r="AB16" s="268">
        <f>MIN('TABLE OF CONTENTS'!$K$18,AB15)</f>
        <v>0</v>
      </c>
      <c r="AC16" s="268">
        <f>MIN('TABLE OF CONTENTS'!$K$18,AC15)</f>
        <v>0</v>
      </c>
      <c r="AD16" s="268">
        <f>MIN('TABLE OF CONTENTS'!$K$18,AD15)</f>
        <v>0</v>
      </c>
      <c r="AE16" s="268">
        <f>MIN('TABLE OF CONTENTS'!$K$18,AE15)</f>
        <v>0</v>
      </c>
      <c r="AF16" s="268">
        <f>MIN('TABLE OF CONTENTS'!$K$18,AF15)</f>
        <v>0</v>
      </c>
      <c r="AG16" s="268">
        <f>MIN('TABLE OF CONTENTS'!$K$18,AG15)</f>
        <v>0</v>
      </c>
      <c r="AH16" s="268">
        <f>MIN('TABLE OF CONTENTS'!$K$18,AH15)</f>
        <v>0</v>
      </c>
      <c r="AI16" s="268">
        <f>MIN('TABLE OF CONTENTS'!$K$18,AI15)</f>
        <v>0</v>
      </c>
      <c r="AJ16" s="268">
        <f>MIN('TABLE OF CONTENTS'!$K$18,AJ15)</f>
        <v>0</v>
      </c>
      <c r="AK16" s="268">
        <f>MIN('TABLE OF CONTENTS'!$K$18,AK15)</f>
        <v>0</v>
      </c>
      <c r="AL16" s="268">
        <f>MIN('TABLE OF CONTENTS'!$K$18,AL15)</f>
        <v>0</v>
      </c>
      <c r="AM16" s="268">
        <f>MIN('TABLE OF CONTENTS'!$K$18,AM15)</f>
        <v>0</v>
      </c>
      <c r="AN16" s="268">
        <f>MIN('TABLE OF CONTENTS'!$K$18,AN15)</f>
        <v>0</v>
      </c>
      <c r="AO16" s="268">
        <f>MIN('TABLE OF CONTENTS'!$K$18,AO15)</f>
        <v>0</v>
      </c>
      <c r="AP16" s="268">
        <f>MIN('TABLE OF CONTENTS'!$K$18,AP15)</f>
        <v>0</v>
      </c>
      <c r="AQ16" s="268">
        <f>MIN('TABLE OF CONTENTS'!$K$18,AQ15)</f>
        <v>0</v>
      </c>
      <c r="AR16" s="268">
        <f>MIN('TABLE OF CONTENTS'!$K$18,AR15)</f>
        <v>0</v>
      </c>
      <c r="AS16" s="268">
        <f>MIN('TABLE OF CONTENTS'!$K$18,AS15)</f>
        <v>0</v>
      </c>
      <c r="AT16" s="268">
        <f>MIN('TABLE OF CONTENTS'!$K$18,AT15)</f>
        <v>0</v>
      </c>
      <c r="AU16" s="268">
        <f>MIN('TABLE OF CONTENTS'!$K$18,AU15)</f>
        <v>0</v>
      </c>
      <c r="AV16" s="268">
        <f>MIN('TABLE OF CONTENTS'!$K$18,AV15)</f>
        <v>0</v>
      </c>
      <c r="AW16" s="268">
        <f>MIN('TABLE OF CONTENTS'!$K$18,AW15)</f>
        <v>0</v>
      </c>
      <c r="AX16" s="268">
        <f>MIN('TABLE OF CONTENTS'!$K$18,AX15)</f>
        <v>0</v>
      </c>
      <c r="AY16" s="268">
        <f>MIN('TABLE OF CONTENTS'!$K$18,AY15)</f>
        <v>0</v>
      </c>
      <c r="AZ16" s="268">
        <f>MIN('TABLE OF CONTENTS'!$K$18,AZ15)</f>
        <v>0</v>
      </c>
      <c r="BA16" s="268">
        <f>MIN('TABLE OF CONTENTS'!$K$18,BA15)</f>
        <v>0</v>
      </c>
      <c r="BB16" s="268">
        <f>MIN('TABLE OF CONTENTS'!$K$18,BB15)</f>
        <v>0</v>
      </c>
      <c r="BC16" s="268">
        <f>MIN('TABLE OF CONTENTS'!$K$18,BC15)</f>
        <v>0</v>
      </c>
      <c r="BD16" s="268">
        <f>MIN('TABLE OF CONTENTS'!$K$18,BD15)</f>
        <v>0</v>
      </c>
      <c r="BE16" s="268">
        <f>MIN('TABLE OF CONTENTS'!$K$18,BE15)</f>
        <v>0</v>
      </c>
      <c r="BF16" s="268">
        <f>MIN('TABLE OF CONTENTS'!$K$18,BF15)</f>
        <v>0</v>
      </c>
      <c r="BG16" s="268">
        <f>MIN('TABLE OF CONTENTS'!$K$18,BG15)</f>
        <v>0</v>
      </c>
      <c r="BH16" s="268">
        <f>MIN('TABLE OF CONTENTS'!$K$18,BH15)</f>
        <v>0</v>
      </c>
      <c r="BI16" s="268">
        <f>MIN('TABLE OF CONTENTS'!$K$18,BI15)</f>
        <v>0</v>
      </c>
      <c r="BJ16" s="268">
        <f>MIN('TABLE OF CONTENTS'!$K$18,BJ15)</f>
        <v>0</v>
      </c>
      <c r="BK16" s="269">
        <f>SUM(K16:BJ16)</f>
        <v>0</v>
      </c>
    </row>
    <row r="17" spans="2:64" s="24" customFormat="1" ht="15.75" x14ac:dyDescent="0.25">
      <c r="B17" s="1"/>
      <c r="C17" s="149"/>
      <c r="H17" s="455" t="s">
        <v>465</v>
      </c>
      <c r="I17" s="455"/>
      <c r="J17" s="312"/>
      <c r="K17" s="206">
        <f>MIN('TABLE OF CONTENTS'!$K$18,K15-K16)</f>
        <v>0</v>
      </c>
      <c r="L17" s="206">
        <f>MIN('TABLE OF CONTENTS'!$K$18,L15-L16)</f>
        <v>0</v>
      </c>
      <c r="M17" s="206">
        <f>MIN('TABLE OF CONTENTS'!$K$18,M15-M16)</f>
        <v>0</v>
      </c>
      <c r="N17" s="206">
        <f>MIN('TABLE OF CONTENTS'!$K$18,N15-N16)</f>
        <v>0</v>
      </c>
      <c r="O17" s="206">
        <f>MIN('TABLE OF CONTENTS'!$K$18,O15-O16)</f>
        <v>0</v>
      </c>
      <c r="P17" s="206">
        <f>MIN('TABLE OF CONTENTS'!$K$18,P15-P16)</f>
        <v>0</v>
      </c>
      <c r="Q17" s="206">
        <f>MIN('TABLE OF CONTENTS'!$K$18,Q15-Q16)</f>
        <v>0</v>
      </c>
      <c r="R17" s="206">
        <f>MIN('TABLE OF CONTENTS'!$K$18,R15-R16)</f>
        <v>0</v>
      </c>
      <c r="S17" s="206">
        <f>MIN('TABLE OF CONTENTS'!$K$18,S15-S16)</f>
        <v>0</v>
      </c>
      <c r="T17" s="206">
        <f>MIN('TABLE OF CONTENTS'!$K$18,T15-T16)</f>
        <v>0</v>
      </c>
      <c r="U17" s="206">
        <f>MIN('TABLE OF CONTENTS'!$K$18,U15-U16)</f>
        <v>0</v>
      </c>
      <c r="V17" s="206">
        <f>MIN('TABLE OF CONTENTS'!$K$18,V15-V16)</f>
        <v>0</v>
      </c>
      <c r="W17" s="206">
        <f>MIN('TABLE OF CONTENTS'!$K$18,W15-W16)</f>
        <v>0</v>
      </c>
      <c r="X17" s="206">
        <f>MIN('TABLE OF CONTENTS'!$K$18,X15-X16)</f>
        <v>0</v>
      </c>
      <c r="Y17" s="206">
        <f>MIN('TABLE OF CONTENTS'!$K$18,Y15-Y16)</f>
        <v>0</v>
      </c>
      <c r="Z17" s="206">
        <f>MIN('TABLE OF CONTENTS'!$K$18,Z15-Z16)</f>
        <v>0</v>
      </c>
      <c r="AA17" s="206">
        <f>MIN('TABLE OF CONTENTS'!$K$18,AA15-AA16)</f>
        <v>0</v>
      </c>
      <c r="AB17" s="206">
        <f>MIN('TABLE OF CONTENTS'!$K$18,AB15-AB16)</f>
        <v>0</v>
      </c>
      <c r="AC17" s="206">
        <f>MIN('TABLE OF CONTENTS'!$K$18,AC15-AC16)</f>
        <v>0</v>
      </c>
      <c r="AD17" s="206">
        <f>MIN('TABLE OF CONTENTS'!$K$18,AD15-AD16)</f>
        <v>0</v>
      </c>
      <c r="AE17" s="206">
        <f>MIN('TABLE OF CONTENTS'!$K$18,AE15-AE16)</f>
        <v>0</v>
      </c>
      <c r="AF17" s="206">
        <f>MIN('TABLE OF CONTENTS'!$K$18,AF15-AF16)</f>
        <v>0</v>
      </c>
      <c r="AG17" s="206">
        <f>MIN('TABLE OF CONTENTS'!$K$18,AG15-AG16)</f>
        <v>0</v>
      </c>
      <c r="AH17" s="206">
        <f>MIN('TABLE OF CONTENTS'!$K$18,AH15-AH16)</f>
        <v>0</v>
      </c>
      <c r="AI17" s="206">
        <f>MIN('TABLE OF CONTENTS'!$K$18,AI15-AI16)</f>
        <v>0</v>
      </c>
      <c r="AJ17" s="206">
        <f>MIN('TABLE OF CONTENTS'!$K$18,AJ15-AJ16)</f>
        <v>0</v>
      </c>
      <c r="AK17" s="206">
        <f>MIN('TABLE OF CONTENTS'!$K$18,AK15-AK16)</f>
        <v>0</v>
      </c>
      <c r="AL17" s="206">
        <f>MIN('TABLE OF CONTENTS'!$K$18,AL15-AL16)</f>
        <v>0</v>
      </c>
      <c r="AM17" s="206">
        <f>MIN('TABLE OF CONTENTS'!$K$18,AM15-AM16)</f>
        <v>0</v>
      </c>
      <c r="AN17" s="206">
        <f>MIN('TABLE OF CONTENTS'!$K$18,AN15-AN16)</f>
        <v>0</v>
      </c>
      <c r="AO17" s="206">
        <f>MIN('TABLE OF CONTENTS'!$K$18,AO15-AO16)</f>
        <v>0</v>
      </c>
      <c r="AP17" s="206">
        <f>MIN('TABLE OF CONTENTS'!$K$18,AP15-AP16)</f>
        <v>0</v>
      </c>
      <c r="AQ17" s="206">
        <f>MIN('TABLE OF CONTENTS'!$K$18,AQ15-AQ16)</f>
        <v>0</v>
      </c>
      <c r="AR17" s="206">
        <f>MIN('TABLE OF CONTENTS'!$K$18,AR15-AR16)</f>
        <v>0</v>
      </c>
      <c r="AS17" s="206">
        <f>MIN('TABLE OF CONTENTS'!$K$18,AS15-AS16)</f>
        <v>0</v>
      </c>
      <c r="AT17" s="206">
        <f>MIN('TABLE OF CONTENTS'!$K$18,AT15-AT16)</f>
        <v>0</v>
      </c>
      <c r="AU17" s="206">
        <f>MIN('TABLE OF CONTENTS'!$K$18,AU15-AU16)</f>
        <v>0</v>
      </c>
      <c r="AV17" s="206">
        <f>MIN('TABLE OF CONTENTS'!$K$18,AV15-AV16)</f>
        <v>0</v>
      </c>
      <c r="AW17" s="206">
        <f>MIN('TABLE OF CONTENTS'!$K$18,AW15-AW16)</f>
        <v>0</v>
      </c>
      <c r="AX17" s="206">
        <f>MIN('TABLE OF CONTENTS'!$K$18,AX15-AX16)</f>
        <v>0</v>
      </c>
      <c r="AY17" s="206">
        <f>MIN('TABLE OF CONTENTS'!$K$18,AY15-AY16)</f>
        <v>0</v>
      </c>
      <c r="AZ17" s="206">
        <f>MIN('TABLE OF CONTENTS'!$K$18,AZ15-AZ16)</f>
        <v>0</v>
      </c>
      <c r="BA17" s="206">
        <f>MIN('TABLE OF CONTENTS'!$K$18,BA15-BA16)</f>
        <v>0</v>
      </c>
      <c r="BB17" s="206">
        <f>MIN('TABLE OF CONTENTS'!$K$18,BB15-BB16)</f>
        <v>0</v>
      </c>
      <c r="BC17" s="206">
        <f>MIN('TABLE OF CONTENTS'!$K$18,BC15-BC16)</f>
        <v>0</v>
      </c>
      <c r="BD17" s="206">
        <f>MIN('TABLE OF CONTENTS'!$K$18,BD15-BD16)</f>
        <v>0</v>
      </c>
      <c r="BE17" s="206">
        <f>MIN('TABLE OF CONTENTS'!$K$18,BE15-BE16)</f>
        <v>0</v>
      </c>
      <c r="BF17" s="206">
        <f>MIN('TABLE OF CONTENTS'!$K$18,BF15-BF16)</f>
        <v>0</v>
      </c>
      <c r="BG17" s="206">
        <f>MIN('TABLE OF CONTENTS'!$K$18,BG15-BG16)</f>
        <v>0</v>
      </c>
      <c r="BH17" s="206">
        <f>MIN('TABLE OF CONTENTS'!$K$18,BH15-BH16)</f>
        <v>0</v>
      </c>
      <c r="BI17" s="206">
        <f>MIN('TABLE OF CONTENTS'!$K$18,BI15-BI16)</f>
        <v>0</v>
      </c>
      <c r="BJ17" s="206">
        <f>MIN('TABLE OF CONTENTS'!$K$18,BJ15-BJ16)</f>
        <v>0</v>
      </c>
      <c r="BK17" s="269">
        <f>SUM(K17:BJ17)</f>
        <v>0</v>
      </c>
    </row>
    <row r="18" spans="2:64" s="24" customFormat="1" ht="15.75" x14ac:dyDescent="0.25">
      <c r="B18" s="1"/>
      <c r="C18" s="149"/>
      <c r="H18" s="454" t="s">
        <v>502</v>
      </c>
      <c r="I18" s="454"/>
      <c r="J18" s="454"/>
      <c r="K18" s="268">
        <f>K15-K16-K17</f>
        <v>0</v>
      </c>
      <c r="L18" s="268">
        <f t="shared" ref="L18:BJ18" si="0">L15-L16-L17</f>
        <v>0</v>
      </c>
      <c r="M18" s="268">
        <f t="shared" si="0"/>
        <v>0</v>
      </c>
      <c r="N18" s="268">
        <f t="shared" si="0"/>
        <v>0</v>
      </c>
      <c r="O18" s="268">
        <f t="shared" si="0"/>
        <v>0</v>
      </c>
      <c r="P18" s="268">
        <f t="shared" si="0"/>
        <v>0</v>
      </c>
      <c r="Q18" s="268">
        <f t="shared" si="0"/>
        <v>0</v>
      </c>
      <c r="R18" s="268">
        <f t="shared" si="0"/>
        <v>0</v>
      </c>
      <c r="S18" s="268">
        <f t="shared" si="0"/>
        <v>0</v>
      </c>
      <c r="T18" s="268">
        <f t="shared" si="0"/>
        <v>0</v>
      </c>
      <c r="U18" s="268">
        <f t="shared" si="0"/>
        <v>0</v>
      </c>
      <c r="V18" s="268">
        <f t="shared" si="0"/>
        <v>0</v>
      </c>
      <c r="W18" s="268">
        <f t="shared" si="0"/>
        <v>0</v>
      </c>
      <c r="X18" s="268">
        <f t="shared" si="0"/>
        <v>0</v>
      </c>
      <c r="Y18" s="268">
        <f t="shared" si="0"/>
        <v>0</v>
      </c>
      <c r="Z18" s="268">
        <f t="shared" si="0"/>
        <v>0</v>
      </c>
      <c r="AA18" s="268">
        <f t="shared" si="0"/>
        <v>0</v>
      </c>
      <c r="AB18" s="268">
        <f t="shared" si="0"/>
        <v>0</v>
      </c>
      <c r="AC18" s="268">
        <f t="shared" si="0"/>
        <v>0</v>
      </c>
      <c r="AD18" s="268">
        <f t="shared" si="0"/>
        <v>0</v>
      </c>
      <c r="AE18" s="268">
        <f t="shared" si="0"/>
        <v>0</v>
      </c>
      <c r="AF18" s="268">
        <f t="shared" si="0"/>
        <v>0</v>
      </c>
      <c r="AG18" s="268">
        <f t="shared" si="0"/>
        <v>0</v>
      </c>
      <c r="AH18" s="268">
        <f t="shared" si="0"/>
        <v>0</v>
      </c>
      <c r="AI18" s="268">
        <f t="shared" si="0"/>
        <v>0</v>
      </c>
      <c r="AJ18" s="268">
        <f t="shared" si="0"/>
        <v>0</v>
      </c>
      <c r="AK18" s="268">
        <f t="shared" si="0"/>
        <v>0</v>
      </c>
      <c r="AL18" s="268">
        <f t="shared" si="0"/>
        <v>0</v>
      </c>
      <c r="AM18" s="268">
        <f t="shared" si="0"/>
        <v>0</v>
      </c>
      <c r="AN18" s="268">
        <f t="shared" si="0"/>
        <v>0</v>
      </c>
      <c r="AO18" s="268">
        <f t="shared" si="0"/>
        <v>0</v>
      </c>
      <c r="AP18" s="268">
        <f t="shared" si="0"/>
        <v>0</v>
      </c>
      <c r="AQ18" s="268">
        <f t="shared" si="0"/>
        <v>0</v>
      </c>
      <c r="AR18" s="268">
        <f t="shared" si="0"/>
        <v>0</v>
      </c>
      <c r="AS18" s="268">
        <f t="shared" si="0"/>
        <v>0</v>
      </c>
      <c r="AT18" s="268">
        <f t="shared" si="0"/>
        <v>0</v>
      </c>
      <c r="AU18" s="268">
        <f t="shared" si="0"/>
        <v>0</v>
      </c>
      <c r="AV18" s="268">
        <f t="shared" si="0"/>
        <v>0</v>
      </c>
      <c r="AW18" s="268">
        <f t="shared" si="0"/>
        <v>0</v>
      </c>
      <c r="AX18" s="268">
        <f t="shared" si="0"/>
        <v>0</v>
      </c>
      <c r="AY18" s="268">
        <f t="shared" si="0"/>
        <v>0</v>
      </c>
      <c r="AZ18" s="268">
        <f t="shared" si="0"/>
        <v>0</v>
      </c>
      <c r="BA18" s="268">
        <f t="shared" si="0"/>
        <v>0</v>
      </c>
      <c r="BB18" s="268">
        <f t="shared" si="0"/>
        <v>0</v>
      </c>
      <c r="BC18" s="268">
        <f t="shared" si="0"/>
        <v>0</v>
      </c>
      <c r="BD18" s="268">
        <f t="shared" si="0"/>
        <v>0</v>
      </c>
      <c r="BE18" s="268">
        <f t="shared" si="0"/>
        <v>0</v>
      </c>
      <c r="BF18" s="268">
        <f t="shared" si="0"/>
        <v>0</v>
      </c>
      <c r="BG18" s="268">
        <f t="shared" si="0"/>
        <v>0</v>
      </c>
      <c r="BH18" s="268">
        <f t="shared" si="0"/>
        <v>0</v>
      </c>
      <c r="BI18" s="268">
        <f t="shared" si="0"/>
        <v>0</v>
      </c>
      <c r="BJ18" s="268">
        <f t="shared" si="0"/>
        <v>0</v>
      </c>
      <c r="BK18" s="269">
        <f>SUM(K18:BJ18)</f>
        <v>0</v>
      </c>
    </row>
    <row r="19" spans="2:64" ht="15.75" thickBot="1" x14ac:dyDescent="0.3">
      <c r="K19" s="436" t="s">
        <v>442</v>
      </c>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row>
    <row r="20" spans="2:64" ht="15" customHeight="1" x14ac:dyDescent="0.25">
      <c r="B20" s="250"/>
      <c r="C20" s="252"/>
      <c r="D20" s="248"/>
      <c r="E20" s="176"/>
      <c r="F20" s="433" t="s">
        <v>13</v>
      </c>
      <c r="G20" s="434"/>
      <c r="H20" s="434"/>
      <c r="I20" s="435"/>
      <c r="J20" s="437" t="s">
        <v>14</v>
      </c>
      <c r="K20" s="438"/>
      <c r="L20" s="438"/>
      <c r="M20" s="438"/>
      <c r="N20" s="439"/>
      <c r="O20" s="440" t="s">
        <v>15</v>
      </c>
      <c r="P20" s="441"/>
      <c r="Q20" s="441"/>
      <c r="R20" s="442"/>
      <c r="S20" s="443" t="s">
        <v>16</v>
      </c>
      <c r="T20" s="441"/>
      <c r="U20" s="441"/>
      <c r="V20" s="444"/>
      <c r="W20" s="445" t="s">
        <v>17</v>
      </c>
      <c r="X20" s="438"/>
      <c r="Y20" s="438"/>
      <c r="Z20" s="438"/>
      <c r="AA20" s="437" t="s">
        <v>18</v>
      </c>
      <c r="AB20" s="438"/>
      <c r="AC20" s="438"/>
      <c r="AD20" s="439"/>
      <c r="AE20" s="438" t="s">
        <v>19</v>
      </c>
      <c r="AF20" s="438"/>
      <c r="AG20" s="438"/>
      <c r="AH20" s="438"/>
      <c r="AI20" s="437" t="s">
        <v>20</v>
      </c>
      <c r="AJ20" s="438"/>
      <c r="AK20" s="438"/>
      <c r="AL20" s="438"/>
      <c r="AM20" s="439"/>
      <c r="AN20" s="438" t="s">
        <v>21</v>
      </c>
      <c r="AO20" s="438"/>
      <c r="AP20" s="438"/>
      <c r="AQ20" s="438"/>
      <c r="AR20" s="438"/>
      <c r="AS20" s="437" t="s">
        <v>22</v>
      </c>
      <c r="AT20" s="438"/>
      <c r="AU20" s="438"/>
      <c r="AV20" s="439"/>
      <c r="AW20" s="438" t="s">
        <v>23</v>
      </c>
      <c r="AX20" s="438"/>
      <c r="AY20" s="438"/>
      <c r="AZ20" s="438"/>
      <c r="BA20" s="438"/>
      <c r="BB20" s="437" t="s">
        <v>24</v>
      </c>
      <c r="BC20" s="438"/>
      <c r="BD20" s="438"/>
      <c r="BE20" s="439"/>
      <c r="BF20" s="443" t="s">
        <v>25</v>
      </c>
      <c r="BG20" s="441"/>
      <c r="BH20" s="441"/>
      <c r="BI20" s="441"/>
      <c r="BJ20" s="442"/>
      <c r="BK20" s="274" t="s">
        <v>185</v>
      </c>
    </row>
    <row r="21" spans="2:64" x14ac:dyDescent="0.25">
      <c r="B21" s="251" t="s">
        <v>10</v>
      </c>
      <c r="C21" s="177" t="s">
        <v>5</v>
      </c>
      <c r="D21" s="249" t="s">
        <v>11</v>
      </c>
      <c r="E21" s="177" t="s">
        <v>12</v>
      </c>
      <c r="F21" s="171" t="s">
        <v>193</v>
      </c>
      <c r="G21" s="245" t="s">
        <v>424</v>
      </c>
      <c r="H21" s="5" t="s">
        <v>178</v>
      </c>
      <c r="I21" s="166" t="s">
        <v>1</v>
      </c>
      <c r="J21" s="165" t="s">
        <v>2</v>
      </c>
      <c r="K21" s="5" t="s">
        <v>50</v>
      </c>
      <c r="L21" s="5" t="s">
        <v>51</v>
      </c>
      <c r="M21" s="5" t="s">
        <v>52</v>
      </c>
      <c r="N21" s="166" t="s">
        <v>53</v>
      </c>
      <c r="O21" s="164" t="s">
        <v>54</v>
      </c>
      <c r="P21" s="5" t="s">
        <v>55</v>
      </c>
      <c r="Q21" s="168" t="s">
        <v>56</v>
      </c>
      <c r="R21" s="151" t="s">
        <v>57</v>
      </c>
      <c r="S21" s="170" t="s">
        <v>58</v>
      </c>
      <c r="T21" s="168" t="s">
        <v>59</v>
      </c>
      <c r="U21" s="168" t="s">
        <v>60</v>
      </c>
      <c r="V21" s="169" t="s">
        <v>61</v>
      </c>
      <c r="W21" s="152" t="s">
        <v>62</v>
      </c>
      <c r="X21" s="5" t="s">
        <v>63</v>
      </c>
      <c r="Y21" s="5" t="s">
        <v>64</v>
      </c>
      <c r="Z21" s="163" t="s">
        <v>65</v>
      </c>
      <c r="AA21" s="165" t="s">
        <v>66</v>
      </c>
      <c r="AB21" s="5" t="s">
        <v>67</v>
      </c>
      <c r="AC21" s="5" t="s">
        <v>68</v>
      </c>
      <c r="AD21" s="166" t="s">
        <v>69</v>
      </c>
      <c r="AE21" s="164" t="s">
        <v>70</v>
      </c>
      <c r="AF21" s="5" t="s">
        <v>71</v>
      </c>
      <c r="AG21" s="5" t="s">
        <v>72</v>
      </c>
      <c r="AH21" s="163" t="s">
        <v>73</v>
      </c>
      <c r="AI21" s="165" t="s">
        <v>74</v>
      </c>
      <c r="AJ21" s="5" t="s">
        <v>75</v>
      </c>
      <c r="AK21" s="5" t="s">
        <v>76</v>
      </c>
      <c r="AL21" s="5" t="s">
        <v>77</v>
      </c>
      <c r="AM21" s="166" t="s">
        <v>78</v>
      </c>
      <c r="AN21" s="164" t="s">
        <v>79</v>
      </c>
      <c r="AO21" s="5" t="s">
        <v>80</v>
      </c>
      <c r="AP21" s="5" t="s">
        <v>81</v>
      </c>
      <c r="AQ21" s="5" t="s">
        <v>82</v>
      </c>
      <c r="AR21" s="163" t="s">
        <v>83</v>
      </c>
      <c r="AS21" s="165" t="s">
        <v>84</v>
      </c>
      <c r="AT21" s="5" t="s">
        <v>85</v>
      </c>
      <c r="AU21" s="5" t="s">
        <v>86</v>
      </c>
      <c r="AV21" s="166" t="s">
        <v>87</v>
      </c>
      <c r="AW21" s="164" t="s">
        <v>88</v>
      </c>
      <c r="AX21" s="5" t="s">
        <v>89</v>
      </c>
      <c r="AY21" s="5" t="s">
        <v>90</v>
      </c>
      <c r="AZ21" s="5" t="s">
        <v>91</v>
      </c>
      <c r="BA21" s="163" t="s">
        <v>92</v>
      </c>
      <c r="BB21" s="165" t="s">
        <v>93</v>
      </c>
      <c r="BC21" s="5" t="s">
        <v>94</v>
      </c>
      <c r="BD21" s="5" t="s">
        <v>95</v>
      </c>
      <c r="BE21" s="166" t="s">
        <v>96</v>
      </c>
      <c r="BF21" s="165" t="s">
        <v>97</v>
      </c>
      <c r="BG21" s="5" t="s">
        <v>98</v>
      </c>
      <c r="BH21" s="5" t="s">
        <v>99</v>
      </c>
      <c r="BI21" s="5" t="s">
        <v>100</v>
      </c>
      <c r="BJ21" s="163" t="s">
        <v>101</v>
      </c>
      <c r="BK21" s="272" t="s">
        <v>192</v>
      </c>
      <c r="BL21" s="5" t="s">
        <v>471</v>
      </c>
    </row>
    <row r="22" spans="2:64" x14ac:dyDescent="0.25">
      <c r="B22" s="205"/>
      <c r="C22" s="253" t="str">
        <f>IFERROR(VLOOKUP(Table2[[#This Row],[Task Code]],WO_Data_Masterlist[],2,FALSE)," ")</f>
        <v xml:space="preserve"> </v>
      </c>
      <c r="D22" s="180" t="str">
        <f>IFERROR(VLOOKUP(Table2[[#This Row],[Task Code]],WO_Data_Masterlist[],5,FALSE)," ")</f>
        <v xml:space="preserve"> </v>
      </c>
      <c r="E22" s="178" t="str">
        <f>IFERROR(VLOOKUP(Table2[[#This Row],[Task Code]],WO_Data_Masterlist[],6,FALSE)," ")</f>
        <v xml:space="preserve"> </v>
      </c>
      <c r="F22" s="172" t="e">
        <f>VLOOKUP(Table2[[#This Row],[Task Code]],WO_Data_Masterlist[],7,FALSE)</f>
        <v>#N/A</v>
      </c>
      <c r="G22" s="246" t="e">
        <f>IF(VLOOKUP(Table2[[#This Row],[Task Code]],WO_Data_Masterlist[],15,FALSE)="N/A", 1, VLOOKUP(Table2[[#This Row],[Task Code]],WO_Data_Masterlist[],15,FALSE))</f>
        <v>#N/A</v>
      </c>
      <c r="H22" s="173" t="str">
        <f>IFERROR(VLOOKUP(Table2[[#This Row],[Task Code]],WO_Data_Masterlist[],9,FALSE)*Table2[[#This Row],[Frequency Data]]*Table2[[#This Row],[Quantity Data]]," ")</f>
        <v xml:space="preserve"> </v>
      </c>
      <c r="I22" s="174" t="str">
        <f>IFERROR(VLOOKUP(Table2[[#This Row],[Task Code]],WO_Data_Masterlist[],10,FALSE)*Table2[[#This Row],[Frequency Data]]*Table2[[#This Row],[Quantity Data]]," ")</f>
        <v xml:space="preserve"> </v>
      </c>
      <c r="J22" s="114" t="e">
        <f>VLOOKUP(Table2[[#This Row],[Task Code]],WO_Data_Masterlist[],12,FALSE)*Table2[[#This Row],[Frequency Data]]</f>
        <v>#N/A</v>
      </c>
      <c r="K22" s="25"/>
      <c r="L22" s="117"/>
      <c r="M22" s="117"/>
      <c r="N22" s="261"/>
      <c r="O22" s="117"/>
      <c r="P22" s="117"/>
      <c r="Q22" s="117"/>
      <c r="R22" s="117"/>
      <c r="S22" s="262"/>
      <c r="T22" s="117"/>
      <c r="U22" s="117"/>
      <c r="V22" s="261"/>
      <c r="W22" s="117"/>
      <c r="X22" s="117"/>
      <c r="Y22" s="117"/>
      <c r="Z22" s="117"/>
      <c r="AA22" s="262"/>
      <c r="AB22" s="117"/>
      <c r="AC22" s="117"/>
      <c r="AD22" s="261"/>
      <c r="AE22" s="117"/>
      <c r="AF22" s="117"/>
      <c r="AG22" s="117"/>
      <c r="AH22" s="117"/>
      <c r="AI22" s="262"/>
      <c r="AJ22" s="117"/>
      <c r="AK22" s="117"/>
      <c r="AL22" s="117"/>
      <c r="AM22" s="261"/>
      <c r="AN22" s="117"/>
      <c r="AO22" s="117"/>
      <c r="AP22" s="117"/>
      <c r="AQ22" s="117"/>
      <c r="AR22" s="117"/>
      <c r="AS22" s="262"/>
      <c r="AT22" s="117"/>
      <c r="AU22" s="117"/>
      <c r="AV22" s="261"/>
      <c r="AW22" s="117"/>
      <c r="AX22" s="117"/>
      <c r="AY22" s="117"/>
      <c r="AZ22" s="117"/>
      <c r="BA22" s="117"/>
      <c r="BB22" s="262"/>
      <c r="BC22" s="117"/>
      <c r="BD22" s="117"/>
      <c r="BE22" s="261"/>
      <c r="BF22" s="262"/>
      <c r="BG22" s="117"/>
      <c r="BH22" s="25"/>
      <c r="BI22" s="25"/>
      <c r="BJ22" s="25"/>
      <c r="BK22" s="275" t="str">
        <f>IF(Table2[[#This Row],[Operator]]=0,VLOOKUP(Table2[[#This Row],[Task Code]],WO_Data_Masterlist[],9,FALSE)," ")</f>
        <v xml:space="preserve"> </v>
      </c>
      <c r="BL22" s="10">
        <f>SUM(Table2[[#This Row],[1]:[N/A]])</f>
        <v>0</v>
      </c>
    </row>
    <row r="23" spans="2:64" x14ac:dyDescent="0.25">
      <c r="B23" s="205"/>
      <c r="C23" s="253" t="str">
        <f>IFERROR(VLOOKUP(Table2[[#This Row],[Task Code]],WO_Data_Masterlist[],2,FALSE)," ")</f>
        <v xml:space="preserve"> </v>
      </c>
      <c r="D23" s="180" t="str">
        <f>IFERROR(VLOOKUP(Table2[[#This Row],[Task Code]],WO_Data_Masterlist[],5,FALSE)," ")</f>
        <v xml:space="preserve"> </v>
      </c>
      <c r="E23" s="178" t="str">
        <f>IFERROR(VLOOKUP(Table2[[#This Row],[Task Code]],WO_Data_Masterlist[],6,FALSE)," ")</f>
        <v xml:space="preserve"> </v>
      </c>
      <c r="F23" s="172" t="e">
        <f>VLOOKUP(Table2[[#This Row],[Task Code]],WO_Data_Masterlist[],7,FALSE)</f>
        <v>#N/A</v>
      </c>
      <c r="G23" s="246" t="e">
        <f>IF(VLOOKUP(Table2[[#This Row],[Task Code]],WO_Data_Masterlist[],15,FALSE)="N/A", 1, VLOOKUP(Table2[[#This Row],[Task Code]],WO_Data_Masterlist[],15,FALSE))</f>
        <v>#N/A</v>
      </c>
      <c r="H23" s="183" t="str">
        <f>IFERROR(VLOOKUP(Table2[[#This Row],[Task Code]],WO_Data_Masterlist[],9,FALSE)*Table2[[#This Row],[Frequency Data]]*Table2[[#This Row],[Quantity Data]]," ")</f>
        <v xml:space="preserve"> </v>
      </c>
      <c r="I23" s="184" t="str">
        <f>IFERROR(VLOOKUP(Table2[[#This Row],[Task Code]],WO_Data_Masterlist[],10,FALSE)*Table2[[#This Row],[Frequency Data]]*Table2[[#This Row],[Quantity Data]]," ")</f>
        <v xml:space="preserve"> </v>
      </c>
      <c r="J23" s="114" t="e">
        <f>VLOOKUP(Table2[[#This Row],[Task Code]],WO_Data_Masterlist[],12,FALSE)*Table2[[#This Row],[Frequency Data]]</f>
        <v>#N/A</v>
      </c>
      <c r="K23" s="25"/>
      <c r="L23" s="25"/>
      <c r="M23" s="25"/>
      <c r="N23" s="131"/>
      <c r="O23" s="25"/>
      <c r="P23" s="25"/>
      <c r="Q23" s="25"/>
      <c r="R23" s="25"/>
      <c r="S23" s="125"/>
      <c r="T23" s="25"/>
      <c r="U23" s="25"/>
      <c r="V23" s="131"/>
      <c r="W23" s="25"/>
      <c r="X23" s="25"/>
      <c r="Y23" s="25"/>
      <c r="Z23" s="25"/>
      <c r="AA23" s="125"/>
      <c r="AB23" s="25"/>
      <c r="AC23" s="25"/>
      <c r="AD23" s="131"/>
      <c r="AE23" s="25"/>
      <c r="AF23" s="25"/>
      <c r="AG23" s="25"/>
      <c r="AH23" s="25"/>
      <c r="AI23" s="125"/>
      <c r="AJ23" s="25"/>
      <c r="AK23" s="25"/>
      <c r="AL23" s="25"/>
      <c r="AM23" s="131"/>
      <c r="AN23" s="25"/>
      <c r="AO23" s="25"/>
      <c r="AP23" s="25"/>
      <c r="AQ23" s="25"/>
      <c r="AR23" s="25"/>
      <c r="AS23" s="125"/>
      <c r="AT23" s="25"/>
      <c r="AU23" s="25"/>
      <c r="AV23" s="131"/>
      <c r="AW23" s="25"/>
      <c r="AX23" s="25"/>
      <c r="AY23" s="25"/>
      <c r="AZ23" s="25"/>
      <c r="BA23" s="25"/>
      <c r="BB23" s="125"/>
      <c r="BC23" s="25"/>
      <c r="BD23" s="25"/>
      <c r="BE23" s="131"/>
      <c r="BF23" s="125"/>
      <c r="BG23" s="25"/>
      <c r="BH23" s="25"/>
      <c r="BI23" s="25"/>
      <c r="BJ23" s="25"/>
      <c r="BK23" s="275" t="str">
        <f>IF(Table2[[#This Row],[Operator]]=0,VLOOKUP(Table2[[#This Row],[Task Code]],WO_Data_Masterlist[],9,FALSE)," ")</f>
        <v xml:space="preserve"> </v>
      </c>
      <c r="BL23" s="10">
        <f>SUM(Table2[[#This Row],[1]:[N/A]])</f>
        <v>0</v>
      </c>
    </row>
    <row r="24" spans="2:64" x14ac:dyDescent="0.25">
      <c r="B24" s="205"/>
      <c r="C24" s="253" t="str">
        <f>IFERROR(VLOOKUP(Table2[[#This Row],[Task Code]],WO_Data_Masterlist[],2,FALSE)," ")</f>
        <v xml:space="preserve"> </v>
      </c>
      <c r="D24" s="180" t="str">
        <f>IFERROR(VLOOKUP(Table2[[#This Row],[Task Code]],WO_Data_Masterlist[],5,FALSE)," ")</f>
        <v xml:space="preserve"> </v>
      </c>
      <c r="E24" s="178" t="str">
        <f>IFERROR(VLOOKUP(Table2[[#This Row],[Task Code]],WO_Data_Masterlist[],6,FALSE)," ")</f>
        <v xml:space="preserve"> </v>
      </c>
      <c r="F24" s="172" t="e">
        <f>VLOOKUP(Table2[[#This Row],[Task Code]],WO_Data_Masterlist[],7,FALSE)</f>
        <v>#N/A</v>
      </c>
      <c r="G24" s="246" t="e">
        <f>IF(VLOOKUP(Table2[[#This Row],[Task Code]],WO_Data_Masterlist[],15,FALSE)="N/A", 1, VLOOKUP(Table2[[#This Row],[Task Code]],WO_Data_Masterlist[],15,FALSE))</f>
        <v>#N/A</v>
      </c>
      <c r="H24" s="183" t="str">
        <f>IFERROR(VLOOKUP(Table2[[#This Row],[Task Code]],WO_Data_Masterlist[],9,FALSE)*Table2[[#This Row],[Frequency Data]]*Table2[[#This Row],[Quantity Data]]," ")</f>
        <v xml:space="preserve"> </v>
      </c>
      <c r="I24" s="184" t="str">
        <f>IFERROR(VLOOKUP(Table2[[#This Row],[Task Code]],WO_Data_Masterlist[],10,FALSE)*Table2[[#This Row],[Frequency Data]]*Table2[[#This Row],[Quantity Data]]," ")</f>
        <v xml:space="preserve"> </v>
      </c>
      <c r="J24" s="114" t="e">
        <f>VLOOKUP(Table2[[#This Row],[Task Code]],WO_Data_Masterlist[],12,FALSE)*Table2[[#This Row],[Frequency Data]]</f>
        <v>#N/A</v>
      </c>
      <c r="K24" s="25"/>
      <c r="L24" s="25"/>
      <c r="M24" s="25"/>
      <c r="N24" s="131"/>
      <c r="O24" s="25"/>
      <c r="P24" s="25"/>
      <c r="Q24" s="25"/>
      <c r="R24" s="25"/>
      <c r="S24" s="125"/>
      <c r="T24" s="25"/>
      <c r="U24" s="25"/>
      <c r="V24" s="131"/>
      <c r="W24" s="25"/>
      <c r="X24" s="25"/>
      <c r="Y24" s="25"/>
      <c r="Z24" s="25"/>
      <c r="AA24" s="125"/>
      <c r="AB24" s="25"/>
      <c r="AC24" s="25"/>
      <c r="AD24" s="131"/>
      <c r="AE24" s="25"/>
      <c r="AF24" s="25"/>
      <c r="AG24" s="25"/>
      <c r="AH24" s="25"/>
      <c r="AI24" s="125"/>
      <c r="AJ24" s="25"/>
      <c r="AK24" s="25"/>
      <c r="AL24" s="25"/>
      <c r="AM24" s="131"/>
      <c r="AN24" s="25"/>
      <c r="AO24" s="25"/>
      <c r="AP24" s="25"/>
      <c r="AQ24" s="25"/>
      <c r="AR24" s="25"/>
      <c r="AS24" s="125"/>
      <c r="AT24" s="25"/>
      <c r="AU24" s="25"/>
      <c r="AV24" s="131"/>
      <c r="AW24" s="25"/>
      <c r="AX24" s="25"/>
      <c r="AY24" s="25"/>
      <c r="AZ24" s="25"/>
      <c r="BA24" s="25"/>
      <c r="BB24" s="125"/>
      <c r="BC24" s="25"/>
      <c r="BD24" s="25"/>
      <c r="BE24" s="131"/>
      <c r="BF24" s="125"/>
      <c r="BG24" s="25"/>
      <c r="BH24" s="25"/>
      <c r="BI24" s="25"/>
      <c r="BJ24" s="25"/>
      <c r="BK24" s="275" t="str">
        <f>IF(Table2[[#This Row],[Operator]]=0,VLOOKUP(Table2[[#This Row],[Task Code]],WO_Data_Masterlist[],9,FALSE)," ")</f>
        <v xml:space="preserve"> </v>
      </c>
      <c r="BL24" s="10">
        <f>SUM(Table2[[#This Row],[1]:[N/A]])</f>
        <v>0</v>
      </c>
    </row>
    <row r="25" spans="2:64" s="24" customFormat="1" x14ac:dyDescent="0.25">
      <c r="B25" s="205"/>
      <c r="C25" s="253" t="str">
        <f>IFERROR(VLOOKUP(Table2[[#This Row],[Task Code]],WO_Data_Masterlist[],2,FALSE)," ")</f>
        <v xml:space="preserve"> </v>
      </c>
      <c r="D25" s="180" t="str">
        <f>IFERROR(VLOOKUP(Table2[[#This Row],[Task Code]],WO_Data_Masterlist[],5,FALSE)," ")</f>
        <v xml:space="preserve"> </v>
      </c>
      <c r="E25" s="178" t="str">
        <f>IFERROR(VLOOKUP(Table2[[#This Row],[Task Code]],WO_Data_Masterlist[],6,FALSE)," ")</f>
        <v xml:space="preserve"> </v>
      </c>
      <c r="F25" s="172" t="e">
        <f>VLOOKUP(Table2[[#This Row],[Task Code]],WO_Data_Masterlist[],7,FALSE)</f>
        <v>#N/A</v>
      </c>
      <c r="G25" s="246" t="e">
        <f>IF(VLOOKUP(Table2[[#This Row],[Task Code]],WO_Data_Masterlist[],15,FALSE)="N/A", 1, VLOOKUP(Table2[[#This Row],[Task Code]],WO_Data_Masterlist[],15,FALSE))</f>
        <v>#N/A</v>
      </c>
      <c r="H25" s="183" t="str">
        <f>IFERROR(VLOOKUP(Table2[[#This Row],[Task Code]],WO_Data_Masterlist[],9,FALSE)*Table2[[#This Row],[Frequency Data]]*Table2[[#This Row],[Quantity Data]]," ")</f>
        <v xml:space="preserve"> </v>
      </c>
      <c r="I25" s="184" t="str">
        <f>IFERROR(VLOOKUP(Table2[[#This Row],[Task Code]],WO_Data_Masterlist[],10,FALSE)*Table2[[#This Row],[Frequency Data]]*Table2[[#This Row],[Quantity Data]]," ")</f>
        <v xml:space="preserve"> </v>
      </c>
      <c r="J25" s="114" t="e">
        <f>VLOOKUP(Table2[[#This Row],[Task Code]],WO_Data_Masterlist[],12,FALSE)*Table2[[#This Row],[Frequency Data]]</f>
        <v>#N/A</v>
      </c>
      <c r="K25" s="25"/>
      <c r="L25" s="25"/>
      <c r="M25" s="25"/>
      <c r="N25" s="131"/>
      <c r="O25" s="25"/>
      <c r="P25" s="25"/>
      <c r="Q25" s="25"/>
      <c r="R25" s="25"/>
      <c r="S25" s="125"/>
      <c r="T25" s="25"/>
      <c r="U25" s="25"/>
      <c r="V25" s="131"/>
      <c r="W25" s="25"/>
      <c r="X25" s="25"/>
      <c r="Y25" s="25"/>
      <c r="Z25" s="25"/>
      <c r="AA25" s="125"/>
      <c r="AB25" s="25"/>
      <c r="AC25" s="25"/>
      <c r="AD25" s="131"/>
      <c r="AE25" s="25"/>
      <c r="AF25" s="25"/>
      <c r="AG25" s="25"/>
      <c r="AH25" s="25"/>
      <c r="AI25" s="125"/>
      <c r="AJ25" s="25"/>
      <c r="AK25" s="25"/>
      <c r="AL25" s="25"/>
      <c r="AM25" s="131"/>
      <c r="AN25" s="25"/>
      <c r="AO25" s="25"/>
      <c r="AP25" s="25"/>
      <c r="AQ25" s="25"/>
      <c r="AR25" s="25"/>
      <c r="AS25" s="125"/>
      <c r="AT25" s="25"/>
      <c r="AU25" s="25"/>
      <c r="AV25" s="131"/>
      <c r="AW25" s="25"/>
      <c r="AX25" s="25"/>
      <c r="AY25" s="25"/>
      <c r="AZ25" s="25"/>
      <c r="BA25" s="25"/>
      <c r="BB25" s="125"/>
      <c r="BC25" s="25"/>
      <c r="BD25" s="25"/>
      <c r="BE25" s="131"/>
      <c r="BF25" s="125"/>
      <c r="BG25" s="25"/>
      <c r="BH25" s="25"/>
      <c r="BI25" s="25"/>
      <c r="BJ25" s="25"/>
      <c r="BK25" s="275" t="str">
        <f>IF(Table2[[#This Row],[Operator]]=0,VLOOKUP(Table2[[#This Row],[Task Code]],WO_Data_Masterlist[],9,FALSE)," ")</f>
        <v xml:space="preserve"> </v>
      </c>
      <c r="BL25" s="10">
        <f>SUM(Table2[[#This Row],[1]:[N/A]])</f>
        <v>0</v>
      </c>
    </row>
    <row r="26" spans="2:64" s="24" customFormat="1" x14ac:dyDescent="0.25">
      <c r="B26" s="205"/>
      <c r="C26" s="253" t="str">
        <f>IFERROR(VLOOKUP(Table2[[#This Row],[Task Code]],WO_Data_Masterlist[],2,FALSE)," ")</f>
        <v xml:space="preserve"> </v>
      </c>
      <c r="D26" s="180" t="str">
        <f>IFERROR(VLOOKUP(Table2[[#This Row],[Task Code]],WO_Data_Masterlist[],5,FALSE)," ")</f>
        <v xml:space="preserve"> </v>
      </c>
      <c r="E26" s="178" t="str">
        <f>IFERROR(VLOOKUP(Table2[[#This Row],[Task Code]],WO_Data_Masterlist[],6,FALSE)," ")</f>
        <v xml:space="preserve"> </v>
      </c>
      <c r="F26" s="172" t="e">
        <f>VLOOKUP(Table2[[#This Row],[Task Code]],WO_Data_Masterlist[],7,FALSE)</f>
        <v>#N/A</v>
      </c>
      <c r="G26" s="246" t="e">
        <f>IF(VLOOKUP(Table2[[#This Row],[Task Code]],WO_Data_Masterlist[],15,FALSE)="N/A", 1, VLOOKUP(Table2[[#This Row],[Task Code]],WO_Data_Masterlist[],15,FALSE))</f>
        <v>#N/A</v>
      </c>
      <c r="H26" s="183" t="str">
        <f>IFERROR(VLOOKUP(Table2[[#This Row],[Task Code]],WO_Data_Masterlist[],9,FALSE)*Table2[[#This Row],[Frequency Data]]*Table2[[#This Row],[Quantity Data]]," ")</f>
        <v xml:space="preserve"> </v>
      </c>
      <c r="I26" s="184" t="str">
        <f>IFERROR(VLOOKUP(Table2[[#This Row],[Task Code]],WO_Data_Masterlist[],10,FALSE)*Table2[[#This Row],[Frequency Data]]*Table2[[#This Row],[Quantity Data]]," ")</f>
        <v xml:space="preserve"> </v>
      </c>
      <c r="J26" s="167" t="e">
        <f>VLOOKUP(Table2[[#This Row],[Task Code]],WO_Data_Masterlist[],12,FALSE)*Table2[[#This Row],[Frequency Data]]</f>
        <v>#N/A</v>
      </c>
      <c r="K26" s="25"/>
      <c r="L26" s="263"/>
      <c r="M26" s="25"/>
      <c r="N26" s="131"/>
      <c r="O26" s="125"/>
      <c r="P26" s="25"/>
      <c r="Q26" s="25"/>
      <c r="R26" s="25"/>
      <c r="S26" s="125"/>
      <c r="T26" s="25"/>
      <c r="U26" s="25"/>
      <c r="V26" s="131"/>
      <c r="W26" s="125"/>
      <c r="X26" s="25"/>
      <c r="Y26" s="25"/>
      <c r="Z26" s="25"/>
      <c r="AA26" s="125"/>
      <c r="AB26" s="25"/>
      <c r="AC26" s="25"/>
      <c r="AD26" s="131"/>
      <c r="AE26" s="125"/>
      <c r="AF26" s="25"/>
      <c r="AG26" s="25"/>
      <c r="AH26" s="25"/>
      <c r="AI26" s="125"/>
      <c r="AJ26" s="25"/>
      <c r="AK26" s="25"/>
      <c r="AL26" s="25"/>
      <c r="AM26" s="131"/>
      <c r="AN26" s="125"/>
      <c r="AO26" s="25"/>
      <c r="AP26" s="25"/>
      <c r="AQ26" s="25"/>
      <c r="AR26" s="25"/>
      <c r="AS26" s="125"/>
      <c r="AT26" s="25"/>
      <c r="AU26" s="25"/>
      <c r="AV26" s="131"/>
      <c r="AW26" s="125"/>
      <c r="AX26" s="25"/>
      <c r="AY26" s="25"/>
      <c r="AZ26" s="25"/>
      <c r="BA26" s="25"/>
      <c r="BB26" s="125"/>
      <c r="BC26" s="25"/>
      <c r="BD26" s="25"/>
      <c r="BE26" s="131"/>
      <c r="BF26" s="125"/>
      <c r="BG26" s="25"/>
      <c r="BH26" s="25"/>
      <c r="BI26" s="25"/>
      <c r="BJ26" s="263"/>
      <c r="BK26" s="275" t="str">
        <f>IF(Table2[[#This Row],[Operator]]=0,VLOOKUP(Table2[[#This Row],[Task Code]],WO_Data_Masterlist[],9,FALSE)," ")</f>
        <v xml:space="preserve"> </v>
      </c>
      <c r="BL26" s="10">
        <f>SUM(Table2[[#This Row],[1]:[N/A]])</f>
        <v>0</v>
      </c>
    </row>
    <row r="27" spans="2:64" s="24" customFormat="1" x14ac:dyDescent="0.25">
      <c r="B27" s="205"/>
      <c r="C27" s="253" t="str">
        <f>IFERROR(VLOOKUP(Table2[[#This Row],[Task Code]],WO_Data_Masterlist[],2,FALSE)," ")</f>
        <v xml:space="preserve"> </v>
      </c>
      <c r="D27" s="180" t="str">
        <f>IFERROR(VLOOKUP(Table2[[#This Row],[Task Code]],WO_Data_Masterlist[],5,FALSE)," ")</f>
        <v xml:space="preserve"> </v>
      </c>
      <c r="E27" s="178" t="str">
        <f>IFERROR(VLOOKUP(Table2[[#This Row],[Task Code]],WO_Data_Masterlist[],6,FALSE)," ")</f>
        <v xml:space="preserve"> </v>
      </c>
      <c r="F27" s="172" t="e">
        <f>VLOOKUP(Table2[[#This Row],[Task Code]],WO_Data_Masterlist[],7,FALSE)</f>
        <v>#N/A</v>
      </c>
      <c r="G27" s="246" t="e">
        <f>IF(VLOOKUP(Table2[[#This Row],[Task Code]],WO_Data_Masterlist[],15,FALSE)="N/A", 1, VLOOKUP(Table2[[#This Row],[Task Code]],WO_Data_Masterlist[],15,FALSE))</f>
        <v>#N/A</v>
      </c>
      <c r="H27" s="183" t="str">
        <f>IFERROR(VLOOKUP(Table2[[#This Row],[Task Code]],WO_Data_Masterlist[],9,FALSE)*Table2[[#This Row],[Frequency Data]]*Table2[[#This Row],[Quantity Data]]," ")</f>
        <v xml:space="preserve"> </v>
      </c>
      <c r="I27" s="184" t="str">
        <f>IFERROR(VLOOKUP(Table2[[#This Row],[Task Code]],WO_Data_Masterlist[],10,FALSE)*Table2[[#This Row],[Frequency Data]]*Table2[[#This Row],[Quantity Data]]," ")</f>
        <v xml:space="preserve"> </v>
      </c>
      <c r="J27" s="167" t="e">
        <f>VLOOKUP(Table2[[#This Row],[Task Code]],WO_Data_Masterlist[],12,FALSE)*Table2[[#This Row],[Frequency Data]]</f>
        <v>#N/A</v>
      </c>
      <c r="K27" s="25"/>
      <c r="L27" s="263"/>
      <c r="M27" s="25"/>
      <c r="N27" s="131"/>
      <c r="O27" s="125"/>
      <c r="P27" s="25"/>
      <c r="Q27" s="25"/>
      <c r="R27" s="25"/>
      <c r="S27" s="125"/>
      <c r="T27" s="25"/>
      <c r="U27" s="25"/>
      <c r="V27" s="131"/>
      <c r="W27" s="125"/>
      <c r="X27" s="25"/>
      <c r="Y27" s="25"/>
      <c r="Z27" s="25"/>
      <c r="AA27" s="125"/>
      <c r="AB27" s="25"/>
      <c r="AC27" s="25"/>
      <c r="AD27" s="131"/>
      <c r="AE27" s="125"/>
      <c r="AF27" s="25"/>
      <c r="AG27" s="25"/>
      <c r="AH27" s="25"/>
      <c r="AI27" s="125"/>
      <c r="AJ27" s="25"/>
      <c r="AK27" s="25"/>
      <c r="AL27" s="25"/>
      <c r="AM27" s="131"/>
      <c r="AN27" s="125"/>
      <c r="AO27" s="25"/>
      <c r="AP27" s="25"/>
      <c r="AQ27" s="25"/>
      <c r="AR27" s="25"/>
      <c r="AS27" s="125"/>
      <c r="AT27" s="25"/>
      <c r="AU27" s="25"/>
      <c r="AV27" s="131"/>
      <c r="AW27" s="125"/>
      <c r="AX27" s="25"/>
      <c r="AY27" s="25"/>
      <c r="AZ27" s="25"/>
      <c r="BA27" s="25"/>
      <c r="BB27" s="125"/>
      <c r="BC27" s="25"/>
      <c r="BD27" s="25"/>
      <c r="BE27" s="131"/>
      <c r="BF27" s="125"/>
      <c r="BG27" s="25"/>
      <c r="BH27" s="25"/>
      <c r="BI27" s="25"/>
      <c r="BJ27" s="263"/>
      <c r="BK27" s="275" t="str">
        <f>IF(Table2[[#This Row],[Operator]]=0,VLOOKUP(Table2[[#This Row],[Task Code]],WO_Data_Masterlist[],9,FALSE)," ")</f>
        <v xml:space="preserve"> </v>
      </c>
      <c r="BL27" s="10">
        <f>SUM(Table2[[#This Row],[1]:[N/A]])</f>
        <v>0</v>
      </c>
    </row>
    <row r="28" spans="2:64" s="24" customFormat="1" x14ac:dyDescent="0.25">
      <c r="B28" s="205"/>
      <c r="C28" s="253" t="str">
        <f>IFERROR(VLOOKUP(Table2[[#This Row],[Task Code]],WO_Data_Masterlist[],2,FALSE)," ")</f>
        <v xml:space="preserve"> </v>
      </c>
      <c r="D28" s="180" t="str">
        <f>IFERROR(VLOOKUP(Table2[[#This Row],[Task Code]],WO_Data_Masterlist[],5,FALSE)," ")</f>
        <v xml:space="preserve"> </v>
      </c>
      <c r="E28" s="178" t="str">
        <f>IFERROR(VLOOKUP(Table2[[#This Row],[Task Code]],WO_Data_Masterlist[],6,FALSE)," ")</f>
        <v xml:space="preserve"> </v>
      </c>
      <c r="F28" s="172" t="e">
        <f>VLOOKUP(Table2[[#This Row],[Task Code]],WO_Data_Masterlist[],7,FALSE)</f>
        <v>#N/A</v>
      </c>
      <c r="G28" s="246" t="e">
        <f>IF(VLOOKUP(Table2[[#This Row],[Task Code]],WO_Data_Masterlist[],15,FALSE)="N/A", 1, VLOOKUP(Table2[[#This Row],[Task Code]],WO_Data_Masterlist[],15,FALSE))</f>
        <v>#N/A</v>
      </c>
      <c r="H28" s="183" t="str">
        <f>IFERROR(VLOOKUP(Table2[[#This Row],[Task Code]],WO_Data_Masterlist[],9,FALSE)*Table2[[#This Row],[Frequency Data]]*Table2[[#This Row],[Quantity Data]]," ")</f>
        <v xml:space="preserve"> </v>
      </c>
      <c r="I28" s="184" t="str">
        <f>IFERROR(VLOOKUP(Table2[[#This Row],[Task Code]],WO_Data_Masterlist[],10,FALSE)*Table2[[#This Row],[Frequency Data]]*Table2[[#This Row],[Quantity Data]]," ")</f>
        <v xml:space="preserve"> </v>
      </c>
      <c r="J28" s="167" t="e">
        <f>VLOOKUP(Table2[[#This Row],[Task Code]],WO_Data_Masterlist[],12,FALSE)*Table2[[#This Row],[Frequency Data]]</f>
        <v>#N/A</v>
      </c>
      <c r="K28" s="25"/>
      <c r="L28" s="263"/>
      <c r="M28" s="25"/>
      <c r="N28" s="131"/>
      <c r="O28" s="125"/>
      <c r="P28" s="25"/>
      <c r="Q28" s="25"/>
      <c r="R28" s="25"/>
      <c r="S28" s="125"/>
      <c r="T28" s="25"/>
      <c r="U28" s="25"/>
      <c r="V28" s="131"/>
      <c r="W28" s="125"/>
      <c r="X28" s="25"/>
      <c r="Y28" s="25"/>
      <c r="Z28" s="25"/>
      <c r="AA28" s="125"/>
      <c r="AB28" s="25"/>
      <c r="AC28" s="25"/>
      <c r="AD28" s="131"/>
      <c r="AE28" s="125"/>
      <c r="AF28" s="25"/>
      <c r="AG28" s="25"/>
      <c r="AH28" s="25"/>
      <c r="AI28" s="125"/>
      <c r="AJ28" s="25"/>
      <c r="AK28" s="25"/>
      <c r="AL28" s="25"/>
      <c r="AM28" s="131"/>
      <c r="AN28" s="125"/>
      <c r="AO28" s="25"/>
      <c r="AP28" s="25"/>
      <c r="AQ28" s="25"/>
      <c r="AR28" s="25"/>
      <c r="AS28" s="125"/>
      <c r="AT28" s="25"/>
      <c r="AU28" s="25"/>
      <c r="AV28" s="131"/>
      <c r="AW28" s="125"/>
      <c r="AX28" s="25"/>
      <c r="AY28" s="25"/>
      <c r="AZ28" s="25"/>
      <c r="BA28" s="25"/>
      <c r="BB28" s="125"/>
      <c r="BC28" s="25"/>
      <c r="BD28" s="25"/>
      <c r="BE28" s="131"/>
      <c r="BF28" s="125"/>
      <c r="BG28" s="25"/>
      <c r="BH28" s="25"/>
      <c r="BI28" s="25"/>
      <c r="BJ28" s="263"/>
      <c r="BK28" s="275" t="str">
        <f>IF(Table2[[#This Row],[Operator]]=0,VLOOKUP(Table2[[#This Row],[Task Code]],WO_Data_Masterlist[],9,FALSE)," ")</f>
        <v xml:space="preserve"> </v>
      </c>
      <c r="BL28" s="10">
        <f>SUM(Table2[[#This Row],[1]:[N/A]])</f>
        <v>0</v>
      </c>
    </row>
    <row r="29" spans="2:64" s="24" customFormat="1" x14ac:dyDescent="0.25">
      <c r="B29" s="205"/>
      <c r="C29" s="253" t="str">
        <f>IFERROR(VLOOKUP(Table2[[#This Row],[Task Code]],WO_Data_Masterlist[],2,FALSE)," ")</f>
        <v xml:space="preserve"> </v>
      </c>
      <c r="D29" s="180" t="str">
        <f>IFERROR(VLOOKUP(Table2[[#This Row],[Task Code]],WO_Data_Masterlist[],5,FALSE)," ")</f>
        <v xml:space="preserve"> </v>
      </c>
      <c r="E29" s="178" t="str">
        <f>IFERROR(VLOOKUP(Table2[[#This Row],[Task Code]],WO_Data_Masterlist[],6,FALSE)," ")</f>
        <v xml:space="preserve"> </v>
      </c>
      <c r="F29" s="172" t="e">
        <f>VLOOKUP(Table2[[#This Row],[Task Code]],WO_Data_Masterlist[],7,FALSE)</f>
        <v>#N/A</v>
      </c>
      <c r="G29" s="246" t="e">
        <f>IF(VLOOKUP(Table2[[#This Row],[Task Code]],WO_Data_Masterlist[],15,FALSE)="N/A", 1, VLOOKUP(Table2[[#This Row],[Task Code]],WO_Data_Masterlist[],15,FALSE))</f>
        <v>#N/A</v>
      </c>
      <c r="H29" s="183" t="str">
        <f>IFERROR(VLOOKUP(Table2[[#This Row],[Task Code]],WO_Data_Masterlist[],9,FALSE)*Table2[[#This Row],[Frequency Data]]*Table2[[#This Row],[Quantity Data]]," ")</f>
        <v xml:space="preserve"> </v>
      </c>
      <c r="I29" s="184" t="str">
        <f>IFERROR(VLOOKUP(Table2[[#This Row],[Task Code]],WO_Data_Masterlist[],10,FALSE)*Table2[[#This Row],[Frequency Data]]*Table2[[#This Row],[Quantity Data]]," ")</f>
        <v xml:space="preserve"> </v>
      </c>
      <c r="J29" s="167" t="e">
        <f>VLOOKUP(Table2[[#This Row],[Task Code]],WO_Data_Masterlist[],12,FALSE)*Table2[[#This Row],[Frequency Data]]</f>
        <v>#N/A</v>
      </c>
      <c r="K29" s="25"/>
      <c r="L29" s="263"/>
      <c r="M29" s="25"/>
      <c r="N29" s="131"/>
      <c r="O29" s="125"/>
      <c r="P29" s="25"/>
      <c r="Q29" s="25"/>
      <c r="R29" s="25"/>
      <c r="S29" s="125"/>
      <c r="T29" s="25"/>
      <c r="U29" s="25"/>
      <c r="V29" s="131"/>
      <c r="W29" s="125"/>
      <c r="X29" s="25"/>
      <c r="Y29" s="25"/>
      <c r="Z29" s="25"/>
      <c r="AA29" s="125"/>
      <c r="AB29" s="25"/>
      <c r="AC29" s="25"/>
      <c r="AD29" s="131"/>
      <c r="AE29" s="125"/>
      <c r="AF29" s="25"/>
      <c r="AG29" s="25"/>
      <c r="AH29" s="25"/>
      <c r="AI29" s="125"/>
      <c r="AJ29" s="25"/>
      <c r="AK29" s="25"/>
      <c r="AL29" s="25"/>
      <c r="AM29" s="131"/>
      <c r="AN29" s="125"/>
      <c r="AO29" s="25"/>
      <c r="AP29" s="25"/>
      <c r="AQ29" s="25"/>
      <c r="AR29" s="25"/>
      <c r="AS29" s="125"/>
      <c r="AT29" s="25"/>
      <c r="AU29" s="25"/>
      <c r="AV29" s="131"/>
      <c r="AW29" s="125"/>
      <c r="AX29" s="25"/>
      <c r="AY29" s="25"/>
      <c r="AZ29" s="25"/>
      <c r="BA29" s="25"/>
      <c r="BB29" s="125"/>
      <c r="BC29" s="25"/>
      <c r="BD29" s="25"/>
      <c r="BE29" s="131"/>
      <c r="BF29" s="125"/>
      <c r="BG29" s="25"/>
      <c r="BH29" s="25"/>
      <c r="BI29" s="25"/>
      <c r="BJ29" s="263"/>
      <c r="BK29" s="275" t="str">
        <f>IF(Table2[[#This Row],[Operator]]=0,VLOOKUP(Table2[[#This Row],[Task Code]],WO_Data_Masterlist[],9,FALSE)," ")</f>
        <v xml:space="preserve"> </v>
      </c>
      <c r="BL29" s="10">
        <f>SUM(Table2[[#This Row],[1]:[N/A]])</f>
        <v>0</v>
      </c>
    </row>
    <row r="30" spans="2:64" s="24" customFormat="1" x14ac:dyDescent="0.25">
      <c r="B30" s="205"/>
      <c r="C30" s="253" t="str">
        <f>IFERROR(VLOOKUP(Table2[[#This Row],[Task Code]],WO_Data_Masterlist[],2,FALSE)," ")</f>
        <v xml:space="preserve"> </v>
      </c>
      <c r="D30" s="180" t="str">
        <f>IFERROR(VLOOKUP(Table2[[#This Row],[Task Code]],WO_Data_Masterlist[],5,FALSE)," ")</f>
        <v xml:space="preserve"> </v>
      </c>
      <c r="E30" s="178" t="str">
        <f>IFERROR(VLOOKUP(Table2[[#This Row],[Task Code]],WO_Data_Masterlist[],6,FALSE)," ")</f>
        <v xml:space="preserve"> </v>
      </c>
      <c r="F30" s="172" t="e">
        <f>VLOOKUP(Table2[[#This Row],[Task Code]],WO_Data_Masterlist[],7,FALSE)</f>
        <v>#N/A</v>
      </c>
      <c r="G30" s="246" t="e">
        <f>IF(VLOOKUP(Table2[[#This Row],[Task Code]],WO_Data_Masterlist[],15,FALSE)="N/A", 1, VLOOKUP(Table2[[#This Row],[Task Code]],WO_Data_Masterlist[],15,FALSE))</f>
        <v>#N/A</v>
      </c>
      <c r="H30" s="183" t="str">
        <f>IFERROR(VLOOKUP(Table2[[#This Row],[Task Code]],WO_Data_Masterlist[],9,FALSE)*Table2[[#This Row],[Frequency Data]]*Table2[[#This Row],[Quantity Data]]," ")</f>
        <v xml:space="preserve"> </v>
      </c>
      <c r="I30" s="184" t="str">
        <f>IFERROR(VLOOKUP(Table2[[#This Row],[Task Code]],WO_Data_Masterlist[],10,FALSE)*Table2[[#This Row],[Frequency Data]]*Table2[[#This Row],[Quantity Data]]," ")</f>
        <v xml:space="preserve"> </v>
      </c>
      <c r="J30" s="167" t="e">
        <f>VLOOKUP(Table2[[#This Row],[Task Code]],WO_Data_Masterlist[],12,FALSE)*Table2[[#This Row],[Frequency Data]]</f>
        <v>#N/A</v>
      </c>
      <c r="K30" s="25"/>
      <c r="L30" s="263"/>
      <c r="M30" s="25"/>
      <c r="N30" s="131"/>
      <c r="O30" s="125"/>
      <c r="P30" s="25"/>
      <c r="Q30" s="25"/>
      <c r="R30" s="25"/>
      <c r="S30" s="125"/>
      <c r="T30" s="25"/>
      <c r="U30" s="25"/>
      <c r="V30" s="131"/>
      <c r="W30" s="125"/>
      <c r="X30" s="25"/>
      <c r="Y30" s="25"/>
      <c r="Z30" s="25"/>
      <c r="AA30" s="125"/>
      <c r="AB30" s="25"/>
      <c r="AC30" s="25"/>
      <c r="AD30" s="131"/>
      <c r="AE30" s="125"/>
      <c r="AF30" s="25"/>
      <c r="AG30" s="25"/>
      <c r="AH30" s="25"/>
      <c r="AI30" s="125"/>
      <c r="AJ30" s="25"/>
      <c r="AK30" s="25"/>
      <c r="AL30" s="25"/>
      <c r="AM30" s="131"/>
      <c r="AN30" s="125"/>
      <c r="AO30" s="25"/>
      <c r="AP30" s="25"/>
      <c r="AQ30" s="25"/>
      <c r="AR30" s="25"/>
      <c r="AS30" s="125"/>
      <c r="AT30" s="25"/>
      <c r="AU30" s="25"/>
      <c r="AV30" s="131"/>
      <c r="AW30" s="125"/>
      <c r="AX30" s="25"/>
      <c r="AY30" s="25"/>
      <c r="AZ30" s="25"/>
      <c r="BA30" s="25"/>
      <c r="BB30" s="125"/>
      <c r="BC30" s="25"/>
      <c r="BD30" s="25"/>
      <c r="BE30" s="131"/>
      <c r="BF30" s="125"/>
      <c r="BG30" s="25"/>
      <c r="BH30" s="25"/>
      <c r="BI30" s="25"/>
      <c r="BJ30" s="263"/>
      <c r="BK30" s="275" t="str">
        <f>IF(Table2[[#This Row],[Operator]]=0,VLOOKUP(Table2[[#This Row],[Task Code]],WO_Data_Masterlist[],9,FALSE)," ")</f>
        <v xml:space="preserve"> </v>
      </c>
      <c r="BL30" s="10">
        <f>SUM(Table2[[#This Row],[1]:[N/A]])</f>
        <v>0</v>
      </c>
    </row>
    <row r="31" spans="2:64" s="24" customFormat="1" x14ac:dyDescent="0.25">
      <c r="B31" s="205"/>
      <c r="C31" s="253" t="str">
        <f>IFERROR(VLOOKUP(Table2[[#This Row],[Task Code]],WO_Data_Masterlist[],2,FALSE)," ")</f>
        <v xml:space="preserve"> </v>
      </c>
      <c r="D31" s="180" t="str">
        <f>IFERROR(VLOOKUP(Table2[[#This Row],[Task Code]],WO_Data_Masterlist[],5,FALSE)," ")</f>
        <v xml:space="preserve"> </v>
      </c>
      <c r="E31" s="178" t="str">
        <f>IFERROR(VLOOKUP(Table2[[#This Row],[Task Code]],WO_Data_Masterlist[],6,FALSE)," ")</f>
        <v xml:space="preserve"> </v>
      </c>
      <c r="F31" s="172" t="e">
        <f>VLOOKUP(Table2[[#This Row],[Task Code]],WO_Data_Masterlist[],7,FALSE)</f>
        <v>#N/A</v>
      </c>
      <c r="G31" s="246" t="e">
        <f>IF(VLOOKUP(Table2[[#This Row],[Task Code]],WO_Data_Masterlist[],15,FALSE)="N/A", 1, VLOOKUP(Table2[[#This Row],[Task Code]],WO_Data_Masterlist[],15,FALSE))</f>
        <v>#N/A</v>
      </c>
      <c r="H31" s="183" t="str">
        <f>IFERROR(VLOOKUP(Table2[[#This Row],[Task Code]],WO_Data_Masterlist[],9,FALSE)*Table2[[#This Row],[Frequency Data]]*Table2[[#This Row],[Quantity Data]]," ")</f>
        <v xml:space="preserve"> </v>
      </c>
      <c r="I31" s="184" t="str">
        <f>IFERROR(VLOOKUP(Table2[[#This Row],[Task Code]],WO_Data_Masterlist[],10,FALSE)*Table2[[#This Row],[Frequency Data]]*Table2[[#This Row],[Quantity Data]]," ")</f>
        <v xml:space="preserve"> </v>
      </c>
      <c r="J31" s="167" t="e">
        <f>VLOOKUP(Table2[[#This Row],[Task Code]],WO_Data_Masterlist[],12,FALSE)*Table2[[#This Row],[Frequency Data]]</f>
        <v>#N/A</v>
      </c>
      <c r="K31" s="25"/>
      <c r="L31" s="263"/>
      <c r="M31" s="25"/>
      <c r="N31" s="131"/>
      <c r="O31" s="125"/>
      <c r="P31" s="25"/>
      <c r="Q31" s="25"/>
      <c r="R31" s="25"/>
      <c r="S31" s="125"/>
      <c r="T31" s="25"/>
      <c r="U31" s="25"/>
      <c r="V31" s="131"/>
      <c r="W31" s="125"/>
      <c r="X31" s="25"/>
      <c r="Y31" s="25"/>
      <c r="Z31" s="25"/>
      <c r="AA31" s="125"/>
      <c r="AB31" s="25"/>
      <c r="AC31" s="25"/>
      <c r="AD31" s="131"/>
      <c r="AE31" s="125"/>
      <c r="AF31" s="25"/>
      <c r="AG31" s="25"/>
      <c r="AH31" s="25"/>
      <c r="AI31" s="125"/>
      <c r="AJ31" s="25"/>
      <c r="AK31" s="25"/>
      <c r="AL31" s="25"/>
      <c r="AM31" s="131"/>
      <c r="AN31" s="125"/>
      <c r="AO31" s="25"/>
      <c r="AP31" s="25"/>
      <c r="AQ31" s="25"/>
      <c r="AR31" s="25"/>
      <c r="AS31" s="125"/>
      <c r="AT31" s="25"/>
      <c r="AU31" s="25"/>
      <c r="AV31" s="131"/>
      <c r="AW31" s="125"/>
      <c r="AX31" s="25"/>
      <c r="AY31" s="25"/>
      <c r="AZ31" s="25"/>
      <c r="BA31" s="25"/>
      <c r="BB31" s="125"/>
      <c r="BC31" s="25"/>
      <c r="BD31" s="25"/>
      <c r="BE31" s="131"/>
      <c r="BF31" s="125"/>
      <c r="BG31" s="25"/>
      <c r="BH31" s="25"/>
      <c r="BI31" s="25"/>
      <c r="BJ31" s="263"/>
      <c r="BK31" s="275" t="str">
        <f>IF(Table2[[#This Row],[Operator]]=0,VLOOKUP(Table2[[#This Row],[Task Code]],WO_Data_Masterlist[],9,FALSE)," ")</f>
        <v xml:space="preserve"> </v>
      </c>
      <c r="BL31" s="10">
        <f>SUM(Table2[[#This Row],[1]:[N/A]])</f>
        <v>0</v>
      </c>
    </row>
    <row r="32" spans="2:64" s="24" customFormat="1" x14ac:dyDescent="0.25">
      <c r="B32" s="205"/>
      <c r="C32" s="253" t="str">
        <f>IFERROR(VLOOKUP(Table2[[#This Row],[Task Code]],WO_Data_Masterlist[],2,FALSE)," ")</f>
        <v xml:space="preserve"> </v>
      </c>
      <c r="D32" s="180" t="str">
        <f>IFERROR(VLOOKUP(Table2[[#This Row],[Task Code]],WO_Data_Masterlist[],5,FALSE)," ")</f>
        <v xml:space="preserve"> </v>
      </c>
      <c r="E32" s="178" t="str">
        <f>IFERROR(VLOOKUP(Table2[[#This Row],[Task Code]],WO_Data_Masterlist[],6,FALSE)," ")</f>
        <v xml:space="preserve"> </v>
      </c>
      <c r="F32" s="172" t="e">
        <f>VLOOKUP(Table2[[#This Row],[Task Code]],WO_Data_Masterlist[],7,FALSE)</f>
        <v>#N/A</v>
      </c>
      <c r="G32" s="246" t="e">
        <f>IF(VLOOKUP(Table2[[#This Row],[Task Code]],WO_Data_Masterlist[],15,FALSE)="N/A", 1, VLOOKUP(Table2[[#This Row],[Task Code]],WO_Data_Masterlist[],15,FALSE))</f>
        <v>#N/A</v>
      </c>
      <c r="H32" s="183" t="str">
        <f>IFERROR(VLOOKUP(Table2[[#This Row],[Task Code]],WO_Data_Masterlist[],9,FALSE)*Table2[[#This Row],[Frequency Data]]*Table2[[#This Row],[Quantity Data]]," ")</f>
        <v xml:space="preserve"> </v>
      </c>
      <c r="I32" s="184" t="str">
        <f>IFERROR(VLOOKUP(Table2[[#This Row],[Task Code]],WO_Data_Masterlist[],10,FALSE)*Table2[[#This Row],[Frequency Data]]*Table2[[#This Row],[Quantity Data]]," ")</f>
        <v xml:space="preserve"> </v>
      </c>
      <c r="J32" s="167" t="e">
        <f>VLOOKUP(Table2[[#This Row],[Task Code]],WO_Data_Masterlist[],12,FALSE)*Table2[[#This Row],[Frequency Data]]</f>
        <v>#N/A</v>
      </c>
      <c r="K32" s="25"/>
      <c r="L32" s="263"/>
      <c r="M32" s="25"/>
      <c r="N32" s="131"/>
      <c r="O32" s="125"/>
      <c r="P32" s="25"/>
      <c r="Q32" s="25"/>
      <c r="R32" s="25"/>
      <c r="S32" s="125"/>
      <c r="T32" s="25"/>
      <c r="U32" s="25"/>
      <c r="V32" s="131"/>
      <c r="W32" s="125"/>
      <c r="X32" s="25"/>
      <c r="Y32" s="25"/>
      <c r="Z32" s="25"/>
      <c r="AA32" s="125"/>
      <c r="AB32" s="25"/>
      <c r="AC32" s="25"/>
      <c r="AD32" s="131"/>
      <c r="AE32" s="125"/>
      <c r="AF32" s="25"/>
      <c r="AG32" s="25"/>
      <c r="AH32" s="25"/>
      <c r="AI32" s="125"/>
      <c r="AJ32" s="25"/>
      <c r="AK32" s="25"/>
      <c r="AL32" s="25"/>
      <c r="AM32" s="131"/>
      <c r="AN32" s="125"/>
      <c r="AO32" s="25"/>
      <c r="AP32" s="25"/>
      <c r="AQ32" s="25"/>
      <c r="AR32" s="25"/>
      <c r="AS32" s="125"/>
      <c r="AT32" s="25"/>
      <c r="AU32" s="25"/>
      <c r="AV32" s="131"/>
      <c r="AW32" s="125"/>
      <c r="AX32" s="25"/>
      <c r="AY32" s="25"/>
      <c r="AZ32" s="25"/>
      <c r="BA32" s="25"/>
      <c r="BB32" s="125"/>
      <c r="BC32" s="25"/>
      <c r="BD32" s="25"/>
      <c r="BE32" s="131"/>
      <c r="BF32" s="125"/>
      <c r="BG32" s="25"/>
      <c r="BH32" s="25"/>
      <c r="BI32" s="25"/>
      <c r="BJ32" s="263"/>
      <c r="BK32" s="275" t="str">
        <f>IF(Table2[[#This Row],[Operator]]=0,VLOOKUP(Table2[[#This Row],[Task Code]],WO_Data_Masterlist[],9,FALSE)," ")</f>
        <v xml:space="preserve"> </v>
      </c>
      <c r="BL32" s="10">
        <f>SUM(Table2[[#This Row],[1]:[N/A]])</f>
        <v>0</v>
      </c>
    </row>
    <row r="33" spans="2:64" s="24" customFormat="1" x14ac:dyDescent="0.25">
      <c r="B33" s="205"/>
      <c r="C33" s="253" t="str">
        <f>IFERROR(VLOOKUP(Table2[[#This Row],[Task Code]],WO_Data_Masterlist[],2,FALSE)," ")</f>
        <v xml:space="preserve"> </v>
      </c>
      <c r="D33" s="180" t="str">
        <f>IFERROR(VLOOKUP(Table2[[#This Row],[Task Code]],WO_Data_Masterlist[],5,FALSE)," ")</f>
        <v xml:space="preserve"> </v>
      </c>
      <c r="E33" s="178" t="str">
        <f>IFERROR(VLOOKUP(Table2[[#This Row],[Task Code]],WO_Data_Masterlist[],6,FALSE)," ")</f>
        <v xml:space="preserve"> </v>
      </c>
      <c r="F33" s="172" t="e">
        <f>VLOOKUP(Table2[[#This Row],[Task Code]],WO_Data_Masterlist[],7,FALSE)</f>
        <v>#N/A</v>
      </c>
      <c r="G33" s="246" t="e">
        <f>IF(VLOOKUP(Table2[[#This Row],[Task Code]],WO_Data_Masterlist[],15,FALSE)="N/A", 1, VLOOKUP(Table2[[#This Row],[Task Code]],WO_Data_Masterlist[],15,FALSE))</f>
        <v>#N/A</v>
      </c>
      <c r="H33" s="183" t="str">
        <f>IFERROR(VLOOKUP(Table2[[#This Row],[Task Code]],WO_Data_Masterlist[],9,FALSE)*Table2[[#This Row],[Frequency Data]]*Table2[[#This Row],[Quantity Data]]," ")</f>
        <v xml:space="preserve"> </v>
      </c>
      <c r="I33" s="184" t="str">
        <f>IFERROR(VLOOKUP(Table2[[#This Row],[Task Code]],WO_Data_Masterlist[],10,FALSE)*Table2[[#This Row],[Frequency Data]]*Table2[[#This Row],[Quantity Data]]," ")</f>
        <v xml:space="preserve"> </v>
      </c>
      <c r="J33" s="167" t="e">
        <f>VLOOKUP(Table2[[#This Row],[Task Code]],WO_Data_Masterlist[],12,FALSE)*Table2[[#This Row],[Frequency Data]]</f>
        <v>#N/A</v>
      </c>
      <c r="K33" s="25"/>
      <c r="L33" s="263"/>
      <c r="M33" s="25"/>
      <c r="N33" s="131"/>
      <c r="O33" s="125"/>
      <c r="P33" s="25"/>
      <c r="Q33" s="25"/>
      <c r="R33" s="25"/>
      <c r="S33" s="125"/>
      <c r="T33" s="25"/>
      <c r="U33" s="25"/>
      <c r="V33" s="131"/>
      <c r="W33" s="25"/>
      <c r="X33" s="25"/>
      <c r="Y33" s="25"/>
      <c r="Z33" s="25"/>
      <c r="AA33" s="125"/>
      <c r="AB33" s="25"/>
      <c r="AC33" s="25"/>
      <c r="AD33" s="131"/>
      <c r="AE33" s="125"/>
      <c r="AF33" s="25"/>
      <c r="AG33" s="25"/>
      <c r="AH33" s="25"/>
      <c r="AI33" s="125"/>
      <c r="AJ33" s="25"/>
      <c r="AK33" s="25"/>
      <c r="AL33" s="25"/>
      <c r="AM33" s="131"/>
      <c r="AN33" s="125"/>
      <c r="AO33" s="25"/>
      <c r="AP33" s="25"/>
      <c r="AQ33" s="25"/>
      <c r="AR33" s="25"/>
      <c r="AS33" s="125"/>
      <c r="AT33" s="25"/>
      <c r="AU33" s="25"/>
      <c r="AV33" s="131"/>
      <c r="AW33" s="25"/>
      <c r="AX33" s="25"/>
      <c r="AY33" s="25"/>
      <c r="AZ33" s="25"/>
      <c r="BA33" s="25"/>
      <c r="BB33" s="125"/>
      <c r="BC33" s="25"/>
      <c r="BD33" s="25"/>
      <c r="BE33" s="131"/>
      <c r="BF33" s="125"/>
      <c r="BG33" s="25"/>
      <c r="BH33" s="25"/>
      <c r="BI33" s="25"/>
      <c r="BJ33" s="263"/>
      <c r="BK33" s="275" t="str">
        <f>IF(Table2[[#This Row],[Operator]]=0,VLOOKUP(Table2[[#This Row],[Task Code]],WO_Data_Masterlist[],9,FALSE)," ")</f>
        <v xml:space="preserve"> </v>
      </c>
      <c r="BL33" s="10">
        <f>SUM(Table2[[#This Row],[1]:[N/A]])</f>
        <v>0</v>
      </c>
    </row>
    <row r="34" spans="2:64" s="24" customFormat="1" x14ac:dyDescent="0.25">
      <c r="B34" s="205"/>
      <c r="C34" s="253" t="str">
        <f>IFERROR(VLOOKUP(Table2[[#This Row],[Task Code]],WO_Data_Masterlist[],2,FALSE)," ")</f>
        <v xml:space="preserve"> </v>
      </c>
      <c r="D34" s="180" t="str">
        <f>IFERROR(VLOOKUP(Table2[[#This Row],[Task Code]],WO_Data_Masterlist[],5,FALSE)," ")</f>
        <v xml:space="preserve"> </v>
      </c>
      <c r="E34" s="178" t="str">
        <f>IFERROR(VLOOKUP(Table2[[#This Row],[Task Code]],WO_Data_Masterlist[],6,FALSE)," ")</f>
        <v xml:space="preserve"> </v>
      </c>
      <c r="F34" s="172" t="e">
        <f>VLOOKUP(Table2[[#This Row],[Task Code]],WO_Data_Masterlist[],7,FALSE)</f>
        <v>#N/A</v>
      </c>
      <c r="G34" s="246" t="e">
        <f>IF(VLOOKUP(Table2[[#This Row],[Task Code]],WO_Data_Masterlist[],15,FALSE)="N/A", 1, VLOOKUP(Table2[[#This Row],[Task Code]],WO_Data_Masterlist[],15,FALSE))</f>
        <v>#N/A</v>
      </c>
      <c r="H34" s="183" t="str">
        <f>IFERROR(VLOOKUP(Table2[[#This Row],[Task Code]],WO_Data_Masterlist[],9,FALSE)*Table2[[#This Row],[Frequency Data]]*Table2[[#This Row],[Quantity Data]]," ")</f>
        <v xml:space="preserve"> </v>
      </c>
      <c r="I34" s="184" t="str">
        <f>IFERROR(VLOOKUP(Table2[[#This Row],[Task Code]],WO_Data_Masterlist[],10,FALSE)*Table2[[#This Row],[Frequency Data]]*Table2[[#This Row],[Quantity Data]]," ")</f>
        <v xml:space="preserve"> </v>
      </c>
      <c r="J34" s="167" t="e">
        <f>VLOOKUP(Table2[[#This Row],[Task Code]],WO_Data_Masterlist[],12,FALSE)*Table2[[#This Row],[Frequency Data]]</f>
        <v>#N/A</v>
      </c>
      <c r="K34" s="25"/>
      <c r="L34" s="263"/>
      <c r="M34" s="25"/>
      <c r="N34" s="131"/>
      <c r="O34" s="125"/>
      <c r="P34" s="25"/>
      <c r="Q34" s="25"/>
      <c r="R34" s="25"/>
      <c r="S34" s="125"/>
      <c r="T34" s="25"/>
      <c r="U34" s="25"/>
      <c r="V34" s="131"/>
      <c r="W34" s="25"/>
      <c r="X34" s="25"/>
      <c r="Y34" s="25"/>
      <c r="Z34" s="25"/>
      <c r="AA34" s="125"/>
      <c r="AB34" s="25"/>
      <c r="AC34" s="25"/>
      <c r="AD34" s="131"/>
      <c r="AE34" s="125"/>
      <c r="AF34" s="25"/>
      <c r="AG34" s="25"/>
      <c r="AH34" s="25"/>
      <c r="AI34" s="125"/>
      <c r="AJ34" s="25"/>
      <c r="AK34" s="25"/>
      <c r="AL34" s="25"/>
      <c r="AM34" s="131"/>
      <c r="AN34" s="125"/>
      <c r="AO34" s="25"/>
      <c r="AP34" s="25"/>
      <c r="AQ34" s="25"/>
      <c r="AR34" s="25"/>
      <c r="AS34" s="125"/>
      <c r="AT34" s="25"/>
      <c r="AU34" s="25"/>
      <c r="AV34" s="131"/>
      <c r="AW34" s="25"/>
      <c r="AX34" s="25"/>
      <c r="AY34" s="25"/>
      <c r="AZ34" s="25"/>
      <c r="BA34" s="25"/>
      <c r="BB34" s="125"/>
      <c r="BC34" s="25"/>
      <c r="BD34" s="25"/>
      <c r="BE34" s="131"/>
      <c r="BF34" s="125"/>
      <c r="BG34" s="25"/>
      <c r="BH34" s="25"/>
      <c r="BI34" s="25"/>
      <c r="BJ34" s="263"/>
      <c r="BK34" s="275" t="str">
        <f>IF(Table2[[#This Row],[Operator]]=0,VLOOKUP(Table2[[#This Row],[Task Code]],WO_Data_Masterlist[],9,FALSE)," ")</f>
        <v xml:space="preserve"> </v>
      </c>
      <c r="BL34" s="10">
        <f>SUM(Table2[[#This Row],[1]:[N/A]])</f>
        <v>0</v>
      </c>
    </row>
    <row r="35" spans="2:64" s="24" customFormat="1" x14ac:dyDescent="0.25">
      <c r="B35" s="205"/>
      <c r="C35" s="253" t="str">
        <f>IFERROR(VLOOKUP(Table2[[#This Row],[Task Code]],WO_Data_Masterlist[],2,FALSE)," ")</f>
        <v xml:space="preserve"> </v>
      </c>
      <c r="D35" s="180" t="str">
        <f>IFERROR(VLOOKUP(Table2[[#This Row],[Task Code]],WO_Data_Masterlist[],5,FALSE)," ")</f>
        <v xml:space="preserve"> </v>
      </c>
      <c r="E35" s="178" t="str">
        <f>IFERROR(VLOOKUP(Table2[[#This Row],[Task Code]],WO_Data_Masterlist[],6,FALSE)," ")</f>
        <v xml:space="preserve"> </v>
      </c>
      <c r="F35" s="172" t="e">
        <f>VLOOKUP(Table2[[#This Row],[Task Code]],WO_Data_Masterlist[],7,FALSE)</f>
        <v>#N/A</v>
      </c>
      <c r="G35" s="246" t="e">
        <f>IF(VLOOKUP(Table2[[#This Row],[Task Code]],WO_Data_Masterlist[],15,FALSE)="N/A", 1, VLOOKUP(Table2[[#This Row],[Task Code]],WO_Data_Masterlist[],15,FALSE))</f>
        <v>#N/A</v>
      </c>
      <c r="H35" s="183" t="str">
        <f>IFERROR(VLOOKUP(Table2[[#This Row],[Task Code]],WO_Data_Masterlist[],9,FALSE)*Table2[[#This Row],[Frequency Data]]*Table2[[#This Row],[Quantity Data]]," ")</f>
        <v xml:space="preserve"> </v>
      </c>
      <c r="I35" s="184" t="str">
        <f>IFERROR(VLOOKUP(Table2[[#This Row],[Task Code]],WO_Data_Masterlist[],10,FALSE)*Table2[[#This Row],[Frequency Data]]*Table2[[#This Row],[Quantity Data]]," ")</f>
        <v xml:space="preserve"> </v>
      </c>
      <c r="J35" s="167" t="e">
        <f>VLOOKUP(Table2[[#This Row],[Task Code]],WO_Data_Masterlist[],12,FALSE)*Table2[[#This Row],[Frequency Data]]</f>
        <v>#N/A</v>
      </c>
      <c r="K35" s="25"/>
      <c r="L35" s="263"/>
      <c r="M35" s="25"/>
      <c r="N35" s="131"/>
      <c r="O35" s="125"/>
      <c r="P35" s="25"/>
      <c r="Q35" s="25"/>
      <c r="R35" s="25"/>
      <c r="S35" s="125"/>
      <c r="T35" s="25"/>
      <c r="U35" s="25"/>
      <c r="V35" s="131"/>
      <c r="W35" s="125"/>
      <c r="X35" s="25"/>
      <c r="Y35" s="25"/>
      <c r="Z35" s="25"/>
      <c r="AA35" s="125"/>
      <c r="AB35" s="25"/>
      <c r="AC35" s="25"/>
      <c r="AD35" s="131"/>
      <c r="AE35" s="125"/>
      <c r="AF35" s="25"/>
      <c r="AG35" s="25"/>
      <c r="AH35" s="25"/>
      <c r="AI35" s="125"/>
      <c r="AJ35" s="25"/>
      <c r="AK35" s="25"/>
      <c r="AL35" s="25"/>
      <c r="AM35" s="131"/>
      <c r="AN35" s="125"/>
      <c r="AO35" s="25"/>
      <c r="AP35" s="25"/>
      <c r="AQ35" s="25"/>
      <c r="AR35" s="25"/>
      <c r="AS35" s="125"/>
      <c r="AT35" s="25"/>
      <c r="AU35" s="25"/>
      <c r="AV35" s="131"/>
      <c r="AW35" s="125"/>
      <c r="AX35" s="25"/>
      <c r="AY35" s="25"/>
      <c r="AZ35" s="25"/>
      <c r="BA35" s="25"/>
      <c r="BB35" s="125"/>
      <c r="BC35" s="25"/>
      <c r="BD35" s="25"/>
      <c r="BE35" s="131"/>
      <c r="BF35" s="125"/>
      <c r="BG35" s="25"/>
      <c r="BH35" s="25"/>
      <c r="BI35" s="25"/>
      <c r="BJ35" s="263"/>
      <c r="BK35" s="275" t="str">
        <f>IF(Table2[[#This Row],[Operator]]=0,VLOOKUP(Table2[[#This Row],[Task Code]],WO_Data_Masterlist[],9,FALSE)," ")</f>
        <v xml:space="preserve"> </v>
      </c>
      <c r="BL35" s="10">
        <f>SUM(Table2[[#This Row],[1]:[N/A]])</f>
        <v>0</v>
      </c>
    </row>
    <row r="36" spans="2:64" s="24" customFormat="1" x14ac:dyDescent="0.25">
      <c r="B36" s="205"/>
      <c r="C36" s="253" t="str">
        <f>IFERROR(VLOOKUP(Table2[[#This Row],[Task Code]],WO_Data_Masterlist[],2,FALSE)," ")</f>
        <v xml:space="preserve"> </v>
      </c>
      <c r="D36" s="180" t="str">
        <f>IFERROR(VLOOKUP(Table2[[#This Row],[Task Code]],WO_Data_Masterlist[],5,FALSE)," ")</f>
        <v xml:space="preserve"> </v>
      </c>
      <c r="E36" s="178" t="str">
        <f>IFERROR(VLOOKUP(Table2[[#This Row],[Task Code]],WO_Data_Masterlist[],6,FALSE)," ")</f>
        <v xml:space="preserve"> </v>
      </c>
      <c r="F36" s="172" t="e">
        <f>VLOOKUP(Table2[[#This Row],[Task Code]],WO_Data_Masterlist[],7,FALSE)</f>
        <v>#N/A</v>
      </c>
      <c r="G36" s="246" t="e">
        <f>IF(VLOOKUP(Table2[[#This Row],[Task Code]],WO_Data_Masterlist[],15,FALSE)="N/A", 1, VLOOKUP(Table2[[#This Row],[Task Code]],WO_Data_Masterlist[],15,FALSE))</f>
        <v>#N/A</v>
      </c>
      <c r="H36" s="183" t="str">
        <f>IFERROR(VLOOKUP(Table2[[#This Row],[Task Code]],WO_Data_Masterlist[],9,FALSE)*Table2[[#This Row],[Frequency Data]]*Table2[[#This Row],[Quantity Data]]," ")</f>
        <v xml:space="preserve"> </v>
      </c>
      <c r="I36" s="184" t="str">
        <f>IFERROR(VLOOKUP(Table2[[#This Row],[Task Code]],WO_Data_Masterlist[],10,FALSE)*Table2[[#This Row],[Frequency Data]]*Table2[[#This Row],[Quantity Data]]," ")</f>
        <v xml:space="preserve"> </v>
      </c>
      <c r="J36" s="167" t="e">
        <f>VLOOKUP(Table2[[#This Row],[Task Code]],WO_Data_Masterlist[],12,FALSE)*Table2[[#This Row],[Frequency Data]]</f>
        <v>#N/A</v>
      </c>
      <c r="K36" s="25"/>
      <c r="L36" s="263"/>
      <c r="M36" s="25"/>
      <c r="N36" s="131"/>
      <c r="O36" s="125"/>
      <c r="P36" s="25"/>
      <c r="Q36" s="25"/>
      <c r="R36" s="25"/>
      <c r="S36" s="125"/>
      <c r="T36" s="25"/>
      <c r="U36" s="25"/>
      <c r="V36" s="131"/>
      <c r="W36" s="125"/>
      <c r="X36" s="25"/>
      <c r="Y36" s="25"/>
      <c r="Z36" s="25"/>
      <c r="AA36" s="125"/>
      <c r="AB36" s="25"/>
      <c r="AC36" s="25"/>
      <c r="AD36" s="131"/>
      <c r="AE36" s="125"/>
      <c r="AF36" s="25"/>
      <c r="AG36" s="25"/>
      <c r="AH36" s="25"/>
      <c r="AI36" s="125"/>
      <c r="AJ36" s="25"/>
      <c r="AK36" s="25"/>
      <c r="AL36" s="25"/>
      <c r="AM36" s="131"/>
      <c r="AN36" s="125"/>
      <c r="AO36" s="25"/>
      <c r="AP36" s="25"/>
      <c r="AQ36" s="25"/>
      <c r="AR36" s="25"/>
      <c r="AS36" s="125"/>
      <c r="AT36" s="25"/>
      <c r="AU36" s="25"/>
      <c r="AV36" s="131"/>
      <c r="AW36" s="125"/>
      <c r="AX36" s="25"/>
      <c r="AY36" s="25"/>
      <c r="AZ36" s="25"/>
      <c r="BA36" s="25"/>
      <c r="BB36" s="125"/>
      <c r="BC36" s="25"/>
      <c r="BD36" s="25"/>
      <c r="BE36" s="131"/>
      <c r="BF36" s="125"/>
      <c r="BG36" s="25"/>
      <c r="BH36" s="25"/>
      <c r="BI36" s="25"/>
      <c r="BJ36" s="263"/>
      <c r="BK36" s="275" t="str">
        <f>IF(Table2[[#This Row],[Operator]]=0,VLOOKUP(Table2[[#This Row],[Task Code]],WO_Data_Masterlist[],9,FALSE)," ")</f>
        <v xml:space="preserve"> </v>
      </c>
      <c r="BL36" s="10">
        <f>SUM(Table2[[#This Row],[1]:[N/A]])</f>
        <v>0</v>
      </c>
    </row>
    <row r="37" spans="2:64" s="24" customFormat="1" x14ac:dyDescent="0.25">
      <c r="B37" s="205"/>
      <c r="C37" s="253" t="str">
        <f>IFERROR(VLOOKUP(Table2[[#This Row],[Task Code]],WO_Data_Masterlist[],2,FALSE)," ")</f>
        <v xml:space="preserve"> </v>
      </c>
      <c r="D37" s="180" t="str">
        <f>IFERROR(VLOOKUP(Table2[[#This Row],[Task Code]],WO_Data_Masterlist[],5,FALSE)," ")</f>
        <v xml:space="preserve"> </v>
      </c>
      <c r="E37" s="178" t="str">
        <f>IFERROR(VLOOKUP(Table2[[#This Row],[Task Code]],WO_Data_Masterlist[],6,FALSE)," ")</f>
        <v xml:space="preserve"> </v>
      </c>
      <c r="F37" s="172" t="e">
        <f>VLOOKUP(Table2[[#This Row],[Task Code]],WO_Data_Masterlist[],7,FALSE)</f>
        <v>#N/A</v>
      </c>
      <c r="G37" s="246" t="e">
        <f>IF(VLOOKUP(Table2[[#This Row],[Task Code]],WO_Data_Masterlist[],15,FALSE)="N/A", 1, VLOOKUP(Table2[[#This Row],[Task Code]],WO_Data_Masterlist[],15,FALSE))</f>
        <v>#N/A</v>
      </c>
      <c r="H37" s="183" t="str">
        <f>IFERROR(VLOOKUP(Table2[[#This Row],[Task Code]],WO_Data_Masterlist[],9,FALSE)*Table2[[#This Row],[Frequency Data]]*Table2[[#This Row],[Quantity Data]]," ")</f>
        <v xml:space="preserve"> </v>
      </c>
      <c r="I37" s="184" t="str">
        <f>IFERROR(VLOOKUP(Table2[[#This Row],[Task Code]],WO_Data_Masterlist[],10,FALSE)*Table2[[#This Row],[Frequency Data]]*Table2[[#This Row],[Quantity Data]]," ")</f>
        <v xml:space="preserve"> </v>
      </c>
      <c r="J37" s="167" t="e">
        <f>VLOOKUP(Table2[[#This Row],[Task Code]],WO_Data_Masterlist[],12,FALSE)*Table2[[#This Row],[Frequency Data]]</f>
        <v>#N/A</v>
      </c>
      <c r="K37" s="25"/>
      <c r="L37" s="263"/>
      <c r="M37" s="25"/>
      <c r="N37" s="131"/>
      <c r="O37" s="125"/>
      <c r="P37" s="25"/>
      <c r="Q37" s="25"/>
      <c r="R37" s="25"/>
      <c r="S37" s="125"/>
      <c r="T37" s="25"/>
      <c r="U37" s="25"/>
      <c r="V37" s="131"/>
      <c r="W37" s="125"/>
      <c r="X37" s="25"/>
      <c r="Y37" s="25"/>
      <c r="Z37" s="25"/>
      <c r="AA37" s="125"/>
      <c r="AB37" s="25"/>
      <c r="AC37" s="25"/>
      <c r="AD37" s="131"/>
      <c r="AE37" s="125"/>
      <c r="AF37" s="25"/>
      <c r="AG37" s="25"/>
      <c r="AH37" s="25"/>
      <c r="AI37" s="125"/>
      <c r="AJ37" s="25"/>
      <c r="AK37" s="25"/>
      <c r="AL37" s="25"/>
      <c r="AM37" s="131"/>
      <c r="AN37" s="125"/>
      <c r="AO37" s="25"/>
      <c r="AP37" s="25"/>
      <c r="AQ37" s="25"/>
      <c r="AR37" s="25"/>
      <c r="AS37" s="125"/>
      <c r="AT37" s="25"/>
      <c r="AU37" s="25"/>
      <c r="AV37" s="131"/>
      <c r="AW37" s="125"/>
      <c r="AX37" s="25"/>
      <c r="AY37" s="25"/>
      <c r="AZ37" s="25"/>
      <c r="BA37" s="25"/>
      <c r="BB37" s="125"/>
      <c r="BC37" s="25"/>
      <c r="BD37" s="25"/>
      <c r="BE37" s="131"/>
      <c r="BF37" s="125"/>
      <c r="BG37" s="25"/>
      <c r="BH37" s="25"/>
      <c r="BI37" s="25"/>
      <c r="BJ37" s="263"/>
      <c r="BK37" s="275" t="str">
        <f>IF(Table2[[#This Row],[Operator]]=0,VLOOKUP(Table2[[#This Row],[Task Code]],WO_Data_Masterlist[],9,FALSE)," ")</f>
        <v xml:space="preserve"> </v>
      </c>
      <c r="BL37" s="10">
        <f>SUM(Table2[[#This Row],[1]:[N/A]])</f>
        <v>0</v>
      </c>
    </row>
    <row r="38" spans="2:64" s="24" customFormat="1" x14ac:dyDescent="0.25">
      <c r="B38" s="205"/>
      <c r="C38" s="253" t="str">
        <f>IFERROR(VLOOKUP(Table2[[#This Row],[Task Code]],WO_Data_Masterlist[],2,FALSE)," ")</f>
        <v xml:space="preserve"> </v>
      </c>
      <c r="D38" s="180" t="str">
        <f>IFERROR(VLOOKUP(Table2[[#This Row],[Task Code]],WO_Data_Masterlist[],5,FALSE)," ")</f>
        <v xml:space="preserve"> </v>
      </c>
      <c r="E38" s="178" t="str">
        <f>IFERROR(VLOOKUP(Table2[[#This Row],[Task Code]],WO_Data_Masterlist[],6,FALSE)," ")</f>
        <v xml:space="preserve"> </v>
      </c>
      <c r="F38" s="172" t="e">
        <f>VLOOKUP(Table2[[#This Row],[Task Code]],WO_Data_Masterlist[],7,FALSE)</f>
        <v>#N/A</v>
      </c>
      <c r="G38" s="246" t="e">
        <f>IF(VLOOKUP(Table2[[#This Row],[Task Code]],WO_Data_Masterlist[],15,FALSE)="N/A", 1, VLOOKUP(Table2[[#This Row],[Task Code]],WO_Data_Masterlist[],15,FALSE))</f>
        <v>#N/A</v>
      </c>
      <c r="H38" s="183" t="str">
        <f>IFERROR(VLOOKUP(Table2[[#This Row],[Task Code]],WO_Data_Masterlist[],9,FALSE)*Table2[[#This Row],[Frequency Data]]*Table2[[#This Row],[Quantity Data]]," ")</f>
        <v xml:space="preserve"> </v>
      </c>
      <c r="I38" s="184" t="str">
        <f>IFERROR(VLOOKUP(Table2[[#This Row],[Task Code]],WO_Data_Masterlist[],10,FALSE)*Table2[[#This Row],[Frequency Data]]*Table2[[#This Row],[Quantity Data]]," ")</f>
        <v xml:space="preserve"> </v>
      </c>
      <c r="J38" s="167" t="e">
        <f>VLOOKUP(Table2[[#This Row],[Task Code]],WO_Data_Masterlist[],12,FALSE)*Table2[[#This Row],[Frequency Data]]</f>
        <v>#N/A</v>
      </c>
      <c r="K38" s="25"/>
      <c r="L38" s="25"/>
      <c r="M38" s="25"/>
      <c r="N38" s="131"/>
      <c r="O38" s="25"/>
      <c r="P38" s="25"/>
      <c r="Q38" s="25"/>
      <c r="R38" s="25"/>
      <c r="S38" s="125"/>
      <c r="T38" s="25"/>
      <c r="U38" s="25"/>
      <c r="V38" s="131"/>
      <c r="W38" s="25"/>
      <c r="X38" s="25"/>
      <c r="Y38" s="25"/>
      <c r="Z38" s="25"/>
      <c r="AA38" s="125"/>
      <c r="AB38" s="25"/>
      <c r="AC38" s="25"/>
      <c r="AD38" s="131"/>
      <c r="AE38" s="25"/>
      <c r="AF38" s="25"/>
      <c r="AG38" s="25"/>
      <c r="AH38" s="25"/>
      <c r="AI38" s="125"/>
      <c r="AJ38" s="25"/>
      <c r="AK38" s="25"/>
      <c r="AL38" s="25"/>
      <c r="AM38" s="131"/>
      <c r="AN38" s="25"/>
      <c r="AO38" s="25"/>
      <c r="AP38" s="25"/>
      <c r="AQ38" s="25"/>
      <c r="AR38" s="25"/>
      <c r="AS38" s="125"/>
      <c r="AT38" s="25"/>
      <c r="AU38" s="25"/>
      <c r="AV38" s="131"/>
      <c r="AW38" s="25"/>
      <c r="AX38" s="25"/>
      <c r="AY38" s="25"/>
      <c r="AZ38" s="25"/>
      <c r="BA38" s="25"/>
      <c r="BB38" s="125"/>
      <c r="BC38" s="25"/>
      <c r="BD38" s="25"/>
      <c r="BE38" s="131"/>
      <c r="BF38" s="125"/>
      <c r="BG38" s="25"/>
      <c r="BH38" s="25"/>
      <c r="BI38" s="25"/>
      <c r="BJ38" s="25"/>
      <c r="BK38" s="275" t="str">
        <f>IF(Table2[[#This Row],[Operator]]=0,VLOOKUP(Table2[[#This Row],[Task Code]],WO_Data_Masterlist[],9,FALSE)," ")</f>
        <v xml:space="preserve"> </v>
      </c>
      <c r="BL38" s="10">
        <f>SUM(Table2[[#This Row],[1]:[N/A]])</f>
        <v>0</v>
      </c>
    </row>
    <row r="39" spans="2:64" x14ac:dyDescent="0.25">
      <c r="B39" s="205"/>
      <c r="C39" s="253" t="str">
        <f>IFERROR(VLOOKUP(Table2[[#This Row],[Task Code]],WO_Data_Masterlist[],2,FALSE)," ")</f>
        <v xml:space="preserve"> </v>
      </c>
      <c r="D39" s="180" t="str">
        <f>IFERROR(VLOOKUP(Table2[[#This Row],[Task Code]],WO_Data_Masterlist[],5,FALSE)," ")</f>
        <v xml:space="preserve"> </v>
      </c>
      <c r="E39" s="178" t="str">
        <f>IFERROR(VLOOKUP(Table2[[#This Row],[Task Code]],WO_Data_Masterlist[],6,FALSE)," ")</f>
        <v xml:space="preserve"> </v>
      </c>
      <c r="F39" s="172" t="e">
        <f>VLOOKUP(Table2[[#This Row],[Task Code]],WO_Data_Masterlist[],7,FALSE)</f>
        <v>#N/A</v>
      </c>
      <c r="G39" s="246" t="e">
        <f>IF(VLOOKUP(Table2[[#This Row],[Task Code]],WO_Data_Masterlist[],15,FALSE)="N/A", 1, VLOOKUP(Table2[[#This Row],[Task Code]],WO_Data_Masterlist[],15,FALSE))</f>
        <v>#N/A</v>
      </c>
      <c r="H39" s="183" t="str">
        <f>IFERROR(VLOOKUP(Table2[[#This Row],[Task Code]],WO_Data_Masterlist[],9,FALSE)*Table2[[#This Row],[Frequency Data]]*Table2[[#This Row],[Quantity Data]]," ")</f>
        <v xml:space="preserve"> </v>
      </c>
      <c r="I39" s="184" t="str">
        <f>IFERROR(VLOOKUP(Table2[[#This Row],[Task Code]],WO_Data_Masterlist[],10,FALSE)*Table2[[#This Row],[Frequency Data]]*Table2[[#This Row],[Quantity Data]]," ")</f>
        <v xml:space="preserve"> </v>
      </c>
      <c r="J39" s="167" t="e">
        <f>VLOOKUP(Table2[[#This Row],[Task Code]],WO_Data_Masterlist[],12,FALSE)*Table2[[#This Row],[Frequency Data]]</f>
        <v>#N/A</v>
      </c>
      <c r="K39" s="25"/>
      <c r="L39" s="25"/>
      <c r="M39" s="25"/>
      <c r="N39" s="131"/>
      <c r="O39" s="25"/>
      <c r="P39" s="25"/>
      <c r="Q39" s="25"/>
      <c r="R39" s="25"/>
      <c r="S39" s="125"/>
      <c r="T39" s="25"/>
      <c r="U39" s="25"/>
      <c r="V39" s="131"/>
      <c r="W39" s="25"/>
      <c r="X39" s="25"/>
      <c r="Y39" s="25"/>
      <c r="Z39" s="25"/>
      <c r="AA39" s="125"/>
      <c r="AB39" s="25"/>
      <c r="AC39" s="25"/>
      <c r="AD39" s="131"/>
      <c r="AE39" s="25"/>
      <c r="AF39" s="25"/>
      <c r="AG39" s="25"/>
      <c r="AH39" s="25"/>
      <c r="AI39" s="125"/>
      <c r="AJ39" s="25"/>
      <c r="AK39" s="25"/>
      <c r="AL39" s="25"/>
      <c r="AM39" s="131"/>
      <c r="AN39" s="25"/>
      <c r="AO39" s="25"/>
      <c r="AP39" s="25"/>
      <c r="AQ39" s="25"/>
      <c r="AR39" s="25"/>
      <c r="AS39" s="125"/>
      <c r="AT39" s="25"/>
      <c r="AU39" s="25"/>
      <c r="AV39" s="131"/>
      <c r="AW39" s="25"/>
      <c r="AX39" s="25"/>
      <c r="AY39" s="25"/>
      <c r="AZ39" s="25"/>
      <c r="BA39" s="25"/>
      <c r="BB39" s="125"/>
      <c r="BC39" s="25"/>
      <c r="BD39" s="25"/>
      <c r="BE39" s="131"/>
      <c r="BF39" s="125"/>
      <c r="BG39" s="25"/>
      <c r="BH39" s="25"/>
      <c r="BI39" s="25"/>
      <c r="BJ39" s="25"/>
      <c r="BK39" s="275" t="str">
        <f>IF(Table2[[#This Row],[Operator]]=0,VLOOKUP(Table2[[#This Row],[Task Code]],WO_Data_Masterlist[],9,FALSE)," ")</f>
        <v xml:space="preserve"> </v>
      </c>
      <c r="BL39" s="10">
        <f>SUM(Table2[[#This Row],[1]:[N/A]])</f>
        <v>0</v>
      </c>
    </row>
    <row r="40" spans="2:64" x14ac:dyDescent="0.25">
      <c r="B40" s="205"/>
      <c r="C40" s="253" t="str">
        <f>IFERROR(VLOOKUP(Table2[[#This Row],[Task Code]],WO_Data_Masterlist[],2,FALSE)," ")</f>
        <v xml:space="preserve"> </v>
      </c>
      <c r="D40" s="180" t="str">
        <f>IFERROR(VLOOKUP(Table2[[#This Row],[Task Code]],WO_Data_Masterlist[],5,FALSE)," ")</f>
        <v xml:space="preserve"> </v>
      </c>
      <c r="E40" s="178" t="str">
        <f>IFERROR(VLOOKUP(Table2[[#This Row],[Task Code]],WO_Data_Masterlist[],6,FALSE)," ")</f>
        <v xml:space="preserve"> </v>
      </c>
      <c r="F40" s="172" t="e">
        <f>VLOOKUP(Table2[[#This Row],[Task Code]],WO_Data_Masterlist[],7,FALSE)</f>
        <v>#N/A</v>
      </c>
      <c r="G40" s="246" t="e">
        <f>IF(VLOOKUP(Table2[[#This Row],[Task Code]],WO_Data_Masterlist[],15,FALSE)="N/A", 1, VLOOKUP(Table2[[#This Row],[Task Code]],WO_Data_Masterlist[],15,FALSE))</f>
        <v>#N/A</v>
      </c>
      <c r="H40" s="183" t="str">
        <f>IFERROR(VLOOKUP(Table2[[#This Row],[Task Code]],WO_Data_Masterlist[],9,FALSE)*Table2[[#This Row],[Frequency Data]]*Table2[[#This Row],[Quantity Data]]," ")</f>
        <v xml:space="preserve"> </v>
      </c>
      <c r="I40" s="184" t="str">
        <f>IFERROR(VLOOKUP(Table2[[#This Row],[Task Code]],WO_Data_Masterlist[],10,FALSE)*Table2[[#This Row],[Frequency Data]]*Table2[[#This Row],[Quantity Data]]," ")</f>
        <v xml:space="preserve"> </v>
      </c>
      <c r="J40" s="167" t="e">
        <f>VLOOKUP(Table2[[#This Row],[Task Code]],WO_Data_Masterlist[],12,FALSE)*Table2[[#This Row],[Frequency Data]]</f>
        <v>#N/A</v>
      </c>
      <c r="K40" s="25"/>
      <c r="L40" s="25"/>
      <c r="M40" s="25"/>
      <c r="N40" s="131"/>
      <c r="O40" s="25"/>
      <c r="P40" s="25"/>
      <c r="Q40" s="25"/>
      <c r="R40" s="25"/>
      <c r="S40" s="125"/>
      <c r="T40" s="25"/>
      <c r="U40" s="25"/>
      <c r="V40" s="131"/>
      <c r="W40" s="25"/>
      <c r="X40" s="25"/>
      <c r="Y40" s="25"/>
      <c r="Z40" s="25"/>
      <c r="AA40" s="125"/>
      <c r="AB40" s="25"/>
      <c r="AC40" s="25"/>
      <c r="AD40" s="131"/>
      <c r="AE40" s="25"/>
      <c r="AF40" s="25"/>
      <c r="AG40" s="25"/>
      <c r="AH40" s="25"/>
      <c r="AI40" s="125"/>
      <c r="AJ40" s="25"/>
      <c r="AK40" s="25"/>
      <c r="AL40" s="25"/>
      <c r="AM40" s="131"/>
      <c r="AN40" s="25"/>
      <c r="AO40" s="25"/>
      <c r="AP40" s="25"/>
      <c r="AQ40" s="25"/>
      <c r="AR40" s="25"/>
      <c r="AS40" s="125"/>
      <c r="AT40" s="25"/>
      <c r="AU40" s="25"/>
      <c r="AV40" s="131"/>
      <c r="AW40" s="25"/>
      <c r="AX40" s="25"/>
      <c r="AY40" s="25"/>
      <c r="AZ40" s="25"/>
      <c r="BA40" s="25"/>
      <c r="BB40" s="125"/>
      <c r="BC40" s="25"/>
      <c r="BD40" s="25"/>
      <c r="BE40" s="131"/>
      <c r="BF40" s="125"/>
      <c r="BG40" s="25"/>
      <c r="BH40" s="25"/>
      <c r="BI40" s="25"/>
      <c r="BJ40" s="25"/>
      <c r="BK40" s="275" t="str">
        <f>IF(Table2[[#This Row],[Operator]]=0,VLOOKUP(Table2[[#This Row],[Task Code]],WO_Data_Masterlist[],9,FALSE)," ")</f>
        <v xml:space="preserve"> </v>
      </c>
      <c r="BL40" s="10">
        <f>SUM(Table2[[#This Row],[1]:[N/A]])</f>
        <v>0</v>
      </c>
    </row>
    <row r="41" spans="2:64" x14ac:dyDescent="0.25">
      <c r="B41" s="205"/>
      <c r="C41" s="253" t="str">
        <f>IFERROR(VLOOKUP(Table2[[#This Row],[Task Code]],WO_Data_Masterlist[],2,FALSE)," ")</f>
        <v xml:space="preserve"> </v>
      </c>
      <c r="D41" s="180" t="str">
        <f>IFERROR(VLOOKUP(Table2[[#This Row],[Task Code]],WO_Data_Masterlist[],5,FALSE)," ")</f>
        <v xml:space="preserve"> </v>
      </c>
      <c r="E41" s="178" t="str">
        <f>IFERROR(VLOOKUP(Table2[[#This Row],[Task Code]],WO_Data_Masterlist[],6,FALSE)," ")</f>
        <v xml:space="preserve"> </v>
      </c>
      <c r="F41" s="172" t="e">
        <f>VLOOKUP(Table2[[#This Row],[Task Code]],WO_Data_Masterlist[],7,FALSE)</f>
        <v>#N/A</v>
      </c>
      <c r="G41" s="246" t="e">
        <f>IF(VLOOKUP(Table2[[#This Row],[Task Code]],WO_Data_Masterlist[],15,FALSE)="N/A", 1, VLOOKUP(Table2[[#This Row],[Task Code]],WO_Data_Masterlist[],15,FALSE))</f>
        <v>#N/A</v>
      </c>
      <c r="H41" s="183" t="str">
        <f>IFERROR(VLOOKUP(Table2[[#This Row],[Task Code]],WO_Data_Masterlist[],9,FALSE)*Table2[[#This Row],[Frequency Data]]*Table2[[#This Row],[Quantity Data]]," ")</f>
        <v xml:space="preserve"> </v>
      </c>
      <c r="I41" s="184" t="str">
        <f>IFERROR(VLOOKUP(Table2[[#This Row],[Task Code]],WO_Data_Masterlist[],10,FALSE)*Table2[[#This Row],[Frequency Data]]*Table2[[#This Row],[Quantity Data]]," ")</f>
        <v xml:space="preserve"> </v>
      </c>
      <c r="J41" s="167" t="e">
        <f>VLOOKUP(Table2[[#This Row],[Task Code]],WO_Data_Masterlist[],12,FALSE)*Table2[[#This Row],[Frequency Data]]</f>
        <v>#N/A</v>
      </c>
      <c r="K41" s="25"/>
      <c r="L41" s="25"/>
      <c r="M41" s="25"/>
      <c r="N41" s="131"/>
      <c r="O41" s="25"/>
      <c r="P41" s="25"/>
      <c r="Q41" s="25"/>
      <c r="R41" s="25"/>
      <c r="S41" s="125"/>
      <c r="T41" s="25"/>
      <c r="U41" s="25"/>
      <c r="V41" s="131"/>
      <c r="W41" s="25"/>
      <c r="X41" s="25"/>
      <c r="Y41" s="25"/>
      <c r="Z41" s="25"/>
      <c r="AA41" s="125"/>
      <c r="AB41" s="25"/>
      <c r="AC41" s="25"/>
      <c r="AD41" s="131"/>
      <c r="AE41" s="25"/>
      <c r="AF41" s="25"/>
      <c r="AG41" s="25"/>
      <c r="AH41" s="25"/>
      <c r="AI41" s="125"/>
      <c r="AJ41" s="25"/>
      <c r="AK41" s="25"/>
      <c r="AL41" s="25"/>
      <c r="AM41" s="131"/>
      <c r="AN41" s="25"/>
      <c r="AO41" s="25"/>
      <c r="AP41" s="25"/>
      <c r="AQ41" s="25"/>
      <c r="AR41" s="25"/>
      <c r="AS41" s="125"/>
      <c r="AT41" s="25"/>
      <c r="AU41" s="25"/>
      <c r="AV41" s="131"/>
      <c r="AW41" s="25"/>
      <c r="AX41" s="25"/>
      <c r="AY41" s="25"/>
      <c r="AZ41" s="25"/>
      <c r="BA41" s="25"/>
      <c r="BB41" s="125"/>
      <c r="BC41" s="25"/>
      <c r="BD41" s="25"/>
      <c r="BE41" s="131"/>
      <c r="BF41" s="125"/>
      <c r="BG41" s="25"/>
      <c r="BH41" s="25"/>
      <c r="BI41" s="25"/>
      <c r="BJ41" s="263"/>
      <c r="BK41" s="275" t="str">
        <f>IF(Table2[[#This Row],[Operator]]=0,VLOOKUP(Table2[[#This Row],[Task Code]],WO_Data_Masterlist[],9,FALSE)," ")</f>
        <v xml:space="preserve"> </v>
      </c>
      <c r="BL41" s="10">
        <f>SUM(Table2[[#This Row],[1]:[N/A]])</f>
        <v>0</v>
      </c>
    </row>
    <row r="42" spans="2:64" s="24" customFormat="1" x14ac:dyDescent="0.25">
      <c r="B42" s="205"/>
      <c r="C42" s="253" t="str">
        <f>IFERROR(VLOOKUP(Table2[[#This Row],[Task Code]],WO_Data_Masterlist[],2,FALSE)," ")</f>
        <v xml:space="preserve"> </v>
      </c>
      <c r="D42" s="180" t="str">
        <f>IFERROR(VLOOKUP(Table2[[#This Row],[Task Code]],WO_Data_Masterlist[],5,FALSE)," ")</f>
        <v xml:space="preserve"> </v>
      </c>
      <c r="E42" s="178" t="str">
        <f>IFERROR(VLOOKUP(Table2[[#This Row],[Task Code]],WO_Data_Masterlist[],6,FALSE)," ")</f>
        <v xml:space="preserve"> </v>
      </c>
      <c r="F42" s="172" t="e">
        <f>VLOOKUP(Table2[[#This Row],[Task Code]],WO_Data_Masterlist[],7,FALSE)</f>
        <v>#N/A</v>
      </c>
      <c r="G42" s="246" t="e">
        <f>IF(VLOOKUP(Table2[[#This Row],[Task Code]],WO_Data_Masterlist[],15,FALSE)="N/A", 1, VLOOKUP(Table2[[#This Row],[Task Code]],WO_Data_Masterlist[],15,FALSE))</f>
        <v>#N/A</v>
      </c>
      <c r="H42" s="183" t="str">
        <f>IFERROR(VLOOKUP(Table2[[#This Row],[Task Code]],WO_Data_Masterlist[],9,FALSE)*Table2[[#This Row],[Frequency Data]]*Table2[[#This Row],[Quantity Data]]," ")</f>
        <v xml:space="preserve"> </v>
      </c>
      <c r="I42" s="184" t="str">
        <f>IFERROR(VLOOKUP(Table2[[#This Row],[Task Code]],WO_Data_Masterlist[],10,FALSE)*Table2[[#This Row],[Frequency Data]]*Table2[[#This Row],[Quantity Data]]," ")</f>
        <v xml:space="preserve"> </v>
      </c>
      <c r="J42" s="167" t="e">
        <f>VLOOKUP(Table2[[#This Row],[Task Code]],WO_Data_Masterlist[],12,FALSE)*Table2[[#This Row],[Frequency Data]]</f>
        <v>#N/A</v>
      </c>
      <c r="K42" s="25"/>
      <c r="L42" s="25"/>
      <c r="M42" s="25"/>
      <c r="N42" s="131"/>
      <c r="O42" s="25"/>
      <c r="P42" s="25"/>
      <c r="Q42" s="25"/>
      <c r="R42" s="25"/>
      <c r="S42" s="125"/>
      <c r="T42" s="25"/>
      <c r="U42" s="25"/>
      <c r="V42" s="131"/>
      <c r="W42" s="25"/>
      <c r="X42" s="25"/>
      <c r="Y42" s="25"/>
      <c r="Z42" s="25"/>
      <c r="AA42" s="125"/>
      <c r="AB42" s="25"/>
      <c r="AC42" s="25"/>
      <c r="AD42" s="131"/>
      <c r="AE42" s="25"/>
      <c r="AF42" s="25"/>
      <c r="AG42" s="25"/>
      <c r="AH42" s="25"/>
      <c r="AI42" s="125"/>
      <c r="AJ42" s="25"/>
      <c r="AK42" s="25"/>
      <c r="AL42" s="25"/>
      <c r="AM42" s="131"/>
      <c r="AN42" s="25"/>
      <c r="AO42" s="25"/>
      <c r="AP42" s="25"/>
      <c r="AQ42" s="25"/>
      <c r="AR42" s="25"/>
      <c r="AS42" s="125"/>
      <c r="AT42" s="25"/>
      <c r="AU42" s="25"/>
      <c r="AV42" s="131"/>
      <c r="AW42" s="25"/>
      <c r="AX42" s="25"/>
      <c r="AY42" s="25"/>
      <c r="AZ42" s="25"/>
      <c r="BA42" s="25"/>
      <c r="BB42" s="125"/>
      <c r="BC42" s="25"/>
      <c r="BD42" s="25"/>
      <c r="BE42" s="131"/>
      <c r="BF42" s="125"/>
      <c r="BG42" s="25"/>
      <c r="BH42" s="25"/>
      <c r="BI42" s="25"/>
      <c r="BJ42" s="263"/>
      <c r="BK42" s="275" t="str">
        <f>IF(Table2[[#This Row],[Operator]]=0,VLOOKUP(Table2[[#This Row],[Task Code]],WO_Data_Masterlist[],9,FALSE)," ")</f>
        <v xml:space="preserve"> </v>
      </c>
      <c r="BL42" s="10">
        <f>SUM(Table2[[#This Row],[1]:[N/A]])</f>
        <v>0</v>
      </c>
    </row>
    <row r="43" spans="2:64" s="24" customFormat="1" x14ac:dyDescent="0.25">
      <c r="B43" s="205"/>
      <c r="C43" s="253" t="str">
        <f>IFERROR(VLOOKUP(Table2[[#This Row],[Task Code]],WO_Data_Masterlist[],2,FALSE)," ")</f>
        <v xml:space="preserve"> </v>
      </c>
      <c r="D43" s="180" t="str">
        <f>IFERROR(VLOOKUP(Table2[[#This Row],[Task Code]],WO_Data_Masterlist[],5,FALSE)," ")</f>
        <v xml:space="preserve"> </v>
      </c>
      <c r="E43" s="178" t="str">
        <f>IFERROR(VLOOKUP(Table2[[#This Row],[Task Code]],WO_Data_Masterlist[],6,FALSE)," ")</f>
        <v xml:space="preserve"> </v>
      </c>
      <c r="F43" s="172" t="e">
        <f>VLOOKUP(Table2[[#This Row],[Task Code]],WO_Data_Masterlist[],7,FALSE)</f>
        <v>#N/A</v>
      </c>
      <c r="G43" s="246" t="e">
        <f>IF(VLOOKUP(Table2[[#This Row],[Task Code]],WO_Data_Masterlist[],15,FALSE)="N/A", 1, VLOOKUP(Table2[[#This Row],[Task Code]],WO_Data_Masterlist[],15,FALSE))</f>
        <v>#N/A</v>
      </c>
      <c r="H43" s="183" t="str">
        <f>IFERROR(VLOOKUP(Table2[[#This Row],[Task Code]],WO_Data_Masterlist[],9,FALSE)*Table2[[#This Row],[Frequency Data]]*Table2[[#This Row],[Quantity Data]]," ")</f>
        <v xml:space="preserve"> </v>
      </c>
      <c r="I43" s="184" t="str">
        <f>IFERROR(VLOOKUP(Table2[[#This Row],[Task Code]],WO_Data_Masterlist[],10,FALSE)*Table2[[#This Row],[Frequency Data]]*Table2[[#This Row],[Quantity Data]]," ")</f>
        <v xml:space="preserve"> </v>
      </c>
      <c r="J43" s="167" t="e">
        <f>VLOOKUP(Table2[[#This Row],[Task Code]],WO_Data_Masterlist[],12,FALSE)*Table2[[#This Row],[Frequency Data]]</f>
        <v>#N/A</v>
      </c>
      <c r="K43" s="25"/>
      <c r="L43" s="25"/>
      <c r="M43" s="25"/>
      <c r="N43" s="131"/>
      <c r="O43" s="25"/>
      <c r="P43" s="25"/>
      <c r="Q43" s="25"/>
      <c r="R43" s="25"/>
      <c r="S43" s="125"/>
      <c r="T43" s="25"/>
      <c r="U43" s="25"/>
      <c r="V43" s="131"/>
      <c r="W43" s="25"/>
      <c r="X43" s="25"/>
      <c r="Y43" s="25"/>
      <c r="Z43" s="25"/>
      <c r="AA43" s="125"/>
      <c r="AB43" s="25"/>
      <c r="AC43" s="25"/>
      <c r="AD43" s="131"/>
      <c r="AE43" s="25"/>
      <c r="AF43" s="25"/>
      <c r="AG43" s="25"/>
      <c r="AH43" s="25"/>
      <c r="AI43" s="125"/>
      <c r="AJ43" s="25"/>
      <c r="AK43" s="25"/>
      <c r="AL43" s="25"/>
      <c r="AM43" s="131"/>
      <c r="AN43" s="25"/>
      <c r="AO43" s="25"/>
      <c r="AP43" s="25"/>
      <c r="AQ43" s="25"/>
      <c r="AR43" s="25"/>
      <c r="AS43" s="125"/>
      <c r="AT43" s="25"/>
      <c r="AU43" s="25"/>
      <c r="AV43" s="131"/>
      <c r="AW43" s="25"/>
      <c r="AX43" s="25"/>
      <c r="AY43" s="25"/>
      <c r="AZ43" s="25"/>
      <c r="BA43" s="25"/>
      <c r="BB43" s="125"/>
      <c r="BC43" s="25"/>
      <c r="BD43" s="25"/>
      <c r="BE43" s="131"/>
      <c r="BF43" s="125"/>
      <c r="BG43" s="25"/>
      <c r="BH43" s="25"/>
      <c r="BI43" s="25"/>
      <c r="BJ43" s="25"/>
      <c r="BK43" s="275" t="str">
        <f>IF(Table2[[#This Row],[Operator]]=0,VLOOKUP(Table2[[#This Row],[Task Code]],WO_Data_Masterlist[],9,FALSE)," ")</f>
        <v xml:space="preserve"> </v>
      </c>
      <c r="BL43" s="10">
        <f>SUM(Table2[[#This Row],[1]:[N/A]])</f>
        <v>0</v>
      </c>
    </row>
    <row r="44" spans="2:64" x14ac:dyDescent="0.25">
      <c r="B44" s="205"/>
      <c r="C44" s="253" t="str">
        <f>IFERROR(VLOOKUP(Table2[[#This Row],[Task Code]],WO_Data_Masterlist[],2,FALSE)," ")</f>
        <v xml:space="preserve"> </v>
      </c>
      <c r="D44" s="180" t="str">
        <f>IFERROR(VLOOKUP(Table2[[#This Row],[Task Code]],WO_Data_Masterlist[],5,FALSE)," ")</f>
        <v xml:space="preserve"> </v>
      </c>
      <c r="E44" s="178" t="str">
        <f>IFERROR(VLOOKUP(Table2[[#This Row],[Task Code]],WO_Data_Masterlist[],6,FALSE)," ")</f>
        <v xml:space="preserve"> </v>
      </c>
      <c r="F44" s="172" t="e">
        <f>VLOOKUP(Table2[[#This Row],[Task Code]],WO_Data_Masterlist[],7,FALSE)</f>
        <v>#N/A</v>
      </c>
      <c r="G44" s="246" t="e">
        <f>IF(VLOOKUP(Table2[[#This Row],[Task Code]],WO_Data_Masterlist[],15,FALSE)="N/A", 1, VLOOKUP(Table2[[#This Row],[Task Code]],WO_Data_Masterlist[],15,FALSE))</f>
        <v>#N/A</v>
      </c>
      <c r="H44" s="183" t="str">
        <f>IFERROR(VLOOKUP(Table2[[#This Row],[Task Code]],WO_Data_Masterlist[],9,FALSE)*Table2[[#This Row],[Frequency Data]]*Table2[[#This Row],[Quantity Data]]," ")</f>
        <v xml:space="preserve"> </v>
      </c>
      <c r="I44" s="184" t="str">
        <f>IFERROR(VLOOKUP(Table2[[#This Row],[Task Code]],WO_Data_Masterlist[],10,FALSE)*Table2[[#This Row],[Frequency Data]]*Table2[[#This Row],[Quantity Data]]," ")</f>
        <v xml:space="preserve"> </v>
      </c>
      <c r="J44" s="167" t="e">
        <f>VLOOKUP(Table2[[#This Row],[Task Code]],WO_Data_Masterlist[],12,FALSE)*Table2[[#This Row],[Frequency Data]]</f>
        <v>#N/A</v>
      </c>
      <c r="K44" s="25"/>
      <c r="L44" s="25"/>
      <c r="M44" s="25"/>
      <c r="N44" s="131"/>
      <c r="O44" s="25"/>
      <c r="P44" s="25"/>
      <c r="Q44" s="25"/>
      <c r="R44" s="25"/>
      <c r="S44" s="125"/>
      <c r="T44" s="25"/>
      <c r="U44" s="25"/>
      <c r="V44" s="131"/>
      <c r="W44" s="25"/>
      <c r="X44" s="25"/>
      <c r="Y44" s="25"/>
      <c r="Z44" s="25"/>
      <c r="AA44" s="125"/>
      <c r="AB44" s="25"/>
      <c r="AC44" s="25"/>
      <c r="AD44" s="131"/>
      <c r="AE44" s="25"/>
      <c r="AF44" s="25"/>
      <c r="AG44" s="25"/>
      <c r="AH44" s="25"/>
      <c r="AI44" s="125"/>
      <c r="AJ44" s="25"/>
      <c r="AK44" s="25"/>
      <c r="AL44" s="25"/>
      <c r="AM44" s="131"/>
      <c r="AN44" s="25"/>
      <c r="AO44" s="25"/>
      <c r="AP44" s="25"/>
      <c r="AQ44" s="25"/>
      <c r="AR44" s="25"/>
      <c r="AS44" s="125"/>
      <c r="AT44" s="25"/>
      <c r="AU44" s="25"/>
      <c r="AV44" s="131"/>
      <c r="AW44" s="25"/>
      <c r="AX44" s="10"/>
      <c r="AY44" s="25"/>
      <c r="AZ44" s="25"/>
      <c r="BA44" s="25"/>
      <c r="BB44" s="125"/>
      <c r="BC44" s="25"/>
      <c r="BD44" s="25"/>
      <c r="BE44" s="131"/>
      <c r="BF44" s="125"/>
      <c r="BG44" s="25"/>
      <c r="BH44" s="25"/>
      <c r="BI44" s="25"/>
      <c r="BJ44" s="263"/>
      <c r="BK44" s="275" t="str">
        <f>IF(Table2[[#This Row],[Operator]]=0,VLOOKUP(Table2[[#This Row],[Task Code]],WO_Data_Masterlist[],9,FALSE)," ")</f>
        <v xml:space="preserve"> </v>
      </c>
      <c r="BL44" s="10">
        <f>SUM(Table2[[#This Row],[1]:[N/A]])</f>
        <v>0</v>
      </c>
    </row>
    <row r="45" spans="2:64" x14ac:dyDescent="0.25">
      <c r="B45" s="205"/>
      <c r="C45" s="253" t="str">
        <f>IFERROR(VLOOKUP(Table2[[#This Row],[Task Code]],WO_Data_Masterlist[],2,FALSE)," ")</f>
        <v xml:space="preserve"> </v>
      </c>
      <c r="D45" s="180" t="str">
        <f>IFERROR(VLOOKUP(Table2[[#This Row],[Task Code]],WO_Data_Masterlist[],5,FALSE)," ")</f>
        <v xml:space="preserve"> </v>
      </c>
      <c r="E45" s="178" t="str">
        <f>IFERROR(VLOOKUP(Table2[[#This Row],[Task Code]],WO_Data_Masterlist[],6,FALSE)," ")</f>
        <v xml:space="preserve"> </v>
      </c>
      <c r="F45" s="172" t="e">
        <f>VLOOKUP(Table2[[#This Row],[Task Code]],WO_Data_Masterlist[],7,FALSE)</f>
        <v>#N/A</v>
      </c>
      <c r="G45" s="246" t="e">
        <f>IF(VLOOKUP(Table2[[#This Row],[Task Code]],WO_Data_Masterlist[],15,FALSE)="N/A", 1, VLOOKUP(Table2[[#This Row],[Task Code]],WO_Data_Masterlist[],15,FALSE))</f>
        <v>#N/A</v>
      </c>
      <c r="H45" s="183" t="str">
        <f>IFERROR(VLOOKUP(Table2[[#This Row],[Task Code]],WO_Data_Masterlist[],9,FALSE)*Table2[[#This Row],[Frequency Data]]*Table2[[#This Row],[Quantity Data]]," ")</f>
        <v xml:space="preserve"> </v>
      </c>
      <c r="I45" s="184" t="str">
        <f>IFERROR(VLOOKUP(Table2[[#This Row],[Task Code]],WO_Data_Masterlist[],10,FALSE)*Table2[[#This Row],[Frequency Data]]*Table2[[#This Row],[Quantity Data]]," ")</f>
        <v xml:space="preserve"> </v>
      </c>
      <c r="J45" s="167" t="e">
        <f>VLOOKUP(Table2[[#This Row],[Task Code]],WO_Data_Masterlist[],12,FALSE)*Table2[[#This Row],[Frequency Data]]</f>
        <v>#N/A</v>
      </c>
      <c r="K45" s="25"/>
      <c r="L45" s="25"/>
      <c r="M45" s="25"/>
      <c r="N45" s="131"/>
      <c r="O45" s="25"/>
      <c r="P45" s="25"/>
      <c r="Q45" s="25"/>
      <c r="R45" s="25"/>
      <c r="S45" s="125"/>
      <c r="T45" s="25"/>
      <c r="U45" s="25"/>
      <c r="V45" s="131"/>
      <c r="W45" s="25"/>
      <c r="X45" s="25"/>
      <c r="Y45" s="25"/>
      <c r="Z45" s="25"/>
      <c r="AA45" s="125"/>
      <c r="AB45" s="25"/>
      <c r="AC45" s="25"/>
      <c r="AD45" s="131"/>
      <c r="AE45" s="25"/>
      <c r="AF45" s="25"/>
      <c r="AG45" s="25"/>
      <c r="AH45" s="25"/>
      <c r="AI45" s="125"/>
      <c r="AJ45" s="25"/>
      <c r="AK45" s="25"/>
      <c r="AL45" s="25"/>
      <c r="AM45" s="131"/>
      <c r="AN45" s="25"/>
      <c r="AO45" s="25"/>
      <c r="AP45" s="25"/>
      <c r="AQ45" s="25"/>
      <c r="AR45" s="25"/>
      <c r="AS45" s="125"/>
      <c r="AT45" s="25"/>
      <c r="AU45" s="25"/>
      <c r="AV45" s="131"/>
      <c r="AW45" s="25"/>
      <c r="AX45" s="25"/>
      <c r="AY45" s="25"/>
      <c r="AZ45" s="25"/>
      <c r="BA45" s="25"/>
      <c r="BB45" s="125"/>
      <c r="BC45" s="25"/>
      <c r="BD45" s="25"/>
      <c r="BE45" s="131"/>
      <c r="BF45" s="125"/>
      <c r="BG45" s="25"/>
      <c r="BH45" s="25"/>
      <c r="BI45" s="25"/>
      <c r="BJ45" s="263"/>
      <c r="BK45" s="275" t="str">
        <f>IF(Table2[[#This Row],[Operator]]=0,VLOOKUP(Table2[[#This Row],[Task Code]],WO_Data_Masterlist[],9,FALSE)," ")</f>
        <v xml:space="preserve"> </v>
      </c>
      <c r="BL45" s="10">
        <f>SUM(Table2[[#This Row],[1]:[N/A]])</f>
        <v>0</v>
      </c>
    </row>
    <row r="46" spans="2:64" x14ac:dyDescent="0.25">
      <c r="B46" s="205"/>
      <c r="C46" s="253" t="str">
        <f>IFERROR(VLOOKUP(Table2[[#This Row],[Task Code]],WO_Data_Masterlist[],2,FALSE)," ")</f>
        <v xml:space="preserve"> </v>
      </c>
      <c r="D46" s="180" t="str">
        <f>IFERROR(VLOOKUP(Table2[[#This Row],[Task Code]],WO_Data_Masterlist[],5,FALSE)," ")</f>
        <v xml:space="preserve"> </v>
      </c>
      <c r="E46" s="178" t="str">
        <f>IFERROR(VLOOKUP(Table2[[#This Row],[Task Code]],WO_Data_Masterlist[],6,FALSE)," ")</f>
        <v xml:space="preserve"> </v>
      </c>
      <c r="F46" s="172" t="e">
        <f>VLOOKUP(Table2[[#This Row],[Task Code]],WO_Data_Masterlist[],7,FALSE)</f>
        <v>#N/A</v>
      </c>
      <c r="G46" s="246" t="e">
        <f>IF(VLOOKUP(Table2[[#This Row],[Task Code]],WO_Data_Masterlist[],15,FALSE)="N/A", 1, VLOOKUP(Table2[[#This Row],[Task Code]],WO_Data_Masterlist[],15,FALSE))</f>
        <v>#N/A</v>
      </c>
      <c r="H46" s="183" t="str">
        <f>IFERROR(VLOOKUP(Table2[[#This Row],[Task Code]],WO_Data_Masterlist[],9,FALSE)*Table2[[#This Row],[Frequency Data]]*Table2[[#This Row],[Quantity Data]]," ")</f>
        <v xml:space="preserve"> </v>
      </c>
      <c r="I46" s="184" t="str">
        <f>IFERROR(VLOOKUP(Table2[[#This Row],[Task Code]],WO_Data_Masterlist[],10,FALSE)*Table2[[#This Row],[Frequency Data]]*Table2[[#This Row],[Quantity Data]]," ")</f>
        <v xml:space="preserve"> </v>
      </c>
      <c r="J46" s="167" t="e">
        <f>VLOOKUP(Table2[[#This Row],[Task Code]],WO_Data_Masterlist[],12,FALSE)*Table2[[#This Row],[Frequency Data]]</f>
        <v>#N/A</v>
      </c>
      <c r="K46" s="25"/>
      <c r="L46" s="25"/>
      <c r="M46" s="25"/>
      <c r="N46" s="131"/>
      <c r="O46" s="25"/>
      <c r="P46" s="25"/>
      <c r="Q46" s="25"/>
      <c r="R46" s="25"/>
      <c r="S46" s="125"/>
      <c r="T46" s="25"/>
      <c r="U46" s="25"/>
      <c r="V46" s="131"/>
      <c r="W46" s="25"/>
      <c r="X46" s="25"/>
      <c r="Y46" s="25"/>
      <c r="Z46" s="25"/>
      <c r="AA46" s="125"/>
      <c r="AB46" s="25"/>
      <c r="AC46" s="25"/>
      <c r="AD46" s="131"/>
      <c r="AE46" s="25"/>
      <c r="AF46" s="25"/>
      <c r="AG46" s="25"/>
      <c r="AH46" s="25"/>
      <c r="AI46" s="125"/>
      <c r="AJ46" s="25"/>
      <c r="AK46" s="25"/>
      <c r="AL46" s="25"/>
      <c r="AM46" s="131"/>
      <c r="AN46" s="25"/>
      <c r="AO46" s="25"/>
      <c r="AP46" s="25"/>
      <c r="AQ46" s="25"/>
      <c r="AR46" s="25"/>
      <c r="AS46" s="125"/>
      <c r="AT46" s="25"/>
      <c r="AU46" s="25"/>
      <c r="AV46" s="131"/>
      <c r="AW46" s="25"/>
      <c r="AX46" s="25"/>
      <c r="AY46" s="25"/>
      <c r="AZ46" s="25"/>
      <c r="BA46" s="25"/>
      <c r="BB46" s="125"/>
      <c r="BC46" s="25"/>
      <c r="BD46" s="25"/>
      <c r="BE46" s="131"/>
      <c r="BF46" s="125"/>
      <c r="BG46" s="25"/>
      <c r="BH46" s="25"/>
      <c r="BI46" s="25"/>
      <c r="BJ46" s="263"/>
      <c r="BK46" s="275" t="str">
        <f>IF(Table2[[#This Row],[Operator]]=0,VLOOKUP(Table2[[#This Row],[Task Code]],WO_Data_Masterlist[],9,FALSE)," ")</f>
        <v xml:space="preserve"> </v>
      </c>
      <c r="BL46" s="10">
        <f>SUM(Table2[[#This Row],[1]:[N/A]])</f>
        <v>0</v>
      </c>
    </row>
    <row r="47" spans="2:64" x14ac:dyDescent="0.25">
      <c r="B47" s="205"/>
      <c r="C47" s="253" t="str">
        <f>IFERROR(VLOOKUP(Table2[[#This Row],[Task Code]],WO_Data_Masterlist[],2,FALSE)," ")</f>
        <v xml:space="preserve"> </v>
      </c>
      <c r="D47" s="180" t="str">
        <f>IFERROR(VLOOKUP(Table2[[#This Row],[Task Code]],WO_Data_Masterlist[],5,FALSE)," ")</f>
        <v xml:space="preserve"> </v>
      </c>
      <c r="E47" s="178" t="str">
        <f>IFERROR(VLOOKUP(Table2[[#This Row],[Task Code]],WO_Data_Masterlist[],6,FALSE)," ")</f>
        <v xml:space="preserve"> </v>
      </c>
      <c r="F47" s="172" t="e">
        <f>VLOOKUP(Table2[[#This Row],[Task Code]],WO_Data_Masterlist[],7,FALSE)</f>
        <v>#N/A</v>
      </c>
      <c r="G47" s="246" t="e">
        <f>IF(VLOOKUP(Table2[[#This Row],[Task Code]],WO_Data_Masterlist[],15,FALSE)="N/A", 1, VLOOKUP(Table2[[#This Row],[Task Code]],WO_Data_Masterlist[],15,FALSE))</f>
        <v>#N/A</v>
      </c>
      <c r="H47" s="183" t="str">
        <f>IFERROR(VLOOKUP(Table2[[#This Row],[Task Code]],WO_Data_Masterlist[],9,FALSE)*Table2[[#This Row],[Frequency Data]]*Table2[[#This Row],[Quantity Data]]," ")</f>
        <v xml:space="preserve"> </v>
      </c>
      <c r="I47" s="184" t="str">
        <f>IFERROR(VLOOKUP(Table2[[#This Row],[Task Code]],WO_Data_Masterlist[],10,FALSE)*Table2[[#This Row],[Frequency Data]]*Table2[[#This Row],[Quantity Data]]," ")</f>
        <v xml:space="preserve"> </v>
      </c>
      <c r="J47" s="167" t="e">
        <f>VLOOKUP(Table2[[#This Row],[Task Code]],WO_Data_Masterlist[],12,FALSE)*Table2[[#This Row],[Frequency Data]]</f>
        <v>#N/A</v>
      </c>
      <c r="K47" s="25"/>
      <c r="L47" s="25"/>
      <c r="M47" s="25"/>
      <c r="N47" s="131"/>
      <c r="O47" s="25"/>
      <c r="P47" s="25"/>
      <c r="Q47" s="25"/>
      <c r="R47" s="25"/>
      <c r="S47" s="125"/>
      <c r="T47" s="25"/>
      <c r="U47" s="25"/>
      <c r="V47" s="131"/>
      <c r="W47" s="25"/>
      <c r="X47" s="25"/>
      <c r="Y47" s="25"/>
      <c r="Z47" s="25"/>
      <c r="AA47" s="125"/>
      <c r="AB47" s="25"/>
      <c r="AC47" s="25"/>
      <c r="AD47" s="131"/>
      <c r="AE47" s="25"/>
      <c r="AF47" s="25"/>
      <c r="AG47" s="25"/>
      <c r="AH47" s="25"/>
      <c r="AI47" s="125"/>
      <c r="AJ47" s="25"/>
      <c r="AK47" s="25"/>
      <c r="AL47" s="25"/>
      <c r="AM47" s="131"/>
      <c r="AN47" s="25"/>
      <c r="AO47" s="25"/>
      <c r="AP47" s="25"/>
      <c r="AQ47" s="25"/>
      <c r="AR47" s="25"/>
      <c r="AS47" s="125"/>
      <c r="AT47" s="25"/>
      <c r="AU47" s="25"/>
      <c r="AV47" s="131"/>
      <c r="AW47" s="25"/>
      <c r="AX47" s="25"/>
      <c r="AY47" s="25"/>
      <c r="AZ47" s="25"/>
      <c r="BA47" s="25"/>
      <c r="BB47" s="125"/>
      <c r="BC47" s="25"/>
      <c r="BD47" s="25"/>
      <c r="BE47" s="131"/>
      <c r="BF47" s="125"/>
      <c r="BG47" s="25"/>
      <c r="BH47" s="25"/>
      <c r="BI47" s="25"/>
      <c r="BJ47" s="263"/>
      <c r="BK47" s="275" t="str">
        <f>IF(Table2[[#This Row],[Operator]]=0,VLOOKUP(Table2[[#This Row],[Task Code]],WO_Data_Masterlist[],9,FALSE)," ")</f>
        <v xml:space="preserve"> </v>
      </c>
      <c r="BL47" s="10">
        <f>SUM(Table2[[#This Row],[1]:[N/A]])</f>
        <v>0</v>
      </c>
    </row>
    <row r="48" spans="2:64" x14ac:dyDescent="0.25">
      <c r="B48" s="205"/>
      <c r="C48" s="253" t="str">
        <f>IFERROR(VLOOKUP(Table2[[#This Row],[Task Code]],WO_Data_Masterlist[],2,FALSE)," ")</f>
        <v xml:space="preserve"> </v>
      </c>
      <c r="D48" s="180" t="str">
        <f>IFERROR(VLOOKUP(Table2[[#This Row],[Task Code]],WO_Data_Masterlist[],5,FALSE)," ")</f>
        <v xml:space="preserve"> </v>
      </c>
      <c r="E48" s="178" t="str">
        <f>IFERROR(VLOOKUP(Table2[[#This Row],[Task Code]],WO_Data_Masterlist[],6,FALSE)," ")</f>
        <v xml:space="preserve"> </v>
      </c>
      <c r="F48" s="172" t="e">
        <f>VLOOKUP(Table2[[#This Row],[Task Code]],WO_Data_Masterlist[],7,FALSE)</f>
        <v>#N/A</v>
      </c>
      <c r="G48" s="246" t="e">
        <f>IF(VLOOKUP(Table2[[#This Row],[Task Code]],WO_Data_Masterlist[],15,FALSE)="N/A", 1, VLOOKUP(Table2[[#This Row],[Task Code]],WO_Data_Masterlist[],15,FALSE))</f>
        <v>#N/A</v>
      </c>
      <c r="H48" s="183" t="str">
        <f>IFERROR(VLOOKUP(Table2[[#This Row],[Task Code]],WO_Data_Masterlist[],9,FALSE)*Table2[[#This Row],[Frequency Data]]*Table2[[#This Row],[Quantity Data]]," ")</f>
        <v xml:space="preserve"> </v>
      </c>
      <c r="I48" s="184" t="str">
        <f>IFERROR(VLOOKUP(Table2[[#This Row],[Task Code]],WO_Data_Masterlist[],10,FALSE)*Table2[[#This Row],[Frequency Data]]*Table2[[#This Row],[Quantity Data]]," ")</f>
        <v xml:space="preserve"> </v>
      </c>
      <c r="J48" s="167" t="e">
        <f>VLOOKUP(Table2[[#This Row],[Task Code]],WO_Data_Masterlist[],12,FALSE)*Table2[[#This Row],[Frequency Data]]</f>
        <v>#N/A</v>
      </c>
      <c r="K48" s="25"/>
      <c r="L48" s="25"/>
      <c r="M48" s="25"/>
      <c r="N48" s="131"/>
      <c r="O48" s="25"/>
      <c r="P48" s="25"/>
      <c r="Q48" s="25"/>
      <c r="R48" s="25"/>
      <c r="S48" s="125"/>
      <c r="T48" s="25"/>
      <c r="U48" s="25"/>
      <c r="V48" s="131"/>
      <c r="W48" s="25"/>
      <c r="X48" s="25"/>
      <c r="Y48" s="25"/>
      <c r="Z48" s="25"/>
      <c r="AA48" s="125"/>
      <c r="AB48" s="25"/>
      <c r="AC48" s="25"/>
      <c r="AD48" s="131"/>
      <c r="AE48" s="25"/>
      <c r="AF48" s="25"/>
      <c r="AG48" s="25"/>
      <c r="AH48" s="25"/>
      <c r="AI48" s="125"/>
      <c r="AJ48" s="25"/>
      <c r="AK48" s="25"/>
      <c r="AL48" s="25"/>
      <c r="AM48" s="131"/>
      <c r="AN48" s="25"/>
      <c r="AO48" s="25"/>
      <c r="AP48" s="25"/>
      <c r="AQ48" s="25"/>
      <c r="AR48" s="25"/>
      <c r="AS48" s="125"/>
      <c r="AT48" s="25"/>
      <c r="AU48" s="25"/>
      <c r="AV48" s="131"/>
      <c r="AW48" s="25"/>
      <c r="AX48" s="25"/>
      <c r="AY48" s="25"/>
      <c r="AZ48" s="25"/>
      <c r="BA48" s="25"/>
      <c r="BB48" s="125"/>
      <c r="BC48" s="25"/>
      <c r="BD48" s="25"/>
      <c r="BE48" s="131"/>
      <c r="BF48" s="125"/>
      <c r="BG48" s="25"/>
      <c r="BH48" s="25"/>
      <c r="BI48" s="25"/>
      <c r="BJ48" s="263"/>
      <c r="BK48" s="275" t="str">
        <f>IF(Table2[[#This Row],[Operator]]=0,VLOOKUP(Table2[[#This Row],[Task Code]],WO_Data_Masterlist[],9,FALSE)," ")</f>
        <v xml:space="preserve"> </v>
      </c>
      <c r="BL48" s="10">
        <f>SUM(Table2[[#This Row],[1]:[N/A]])</f>
        <v>0</v>
      </c>
    </row>
    <row r="49" spans="2:64" x14ac:dyDescent="0.25">
      <c r="B49" s="205"/>
      <c r="C49" s="253" t="str">
        <f>IFERROR(VLOOKUP(Table2[[#This Row],[Task Code]],WO_Data_Masterlist[],2,FALSE)," ")</f>
        <v xml:space="preserve"> </v>
      </c>
      <c r="D49" s="181" t="str">
        <f>IFERROR(VLOOKUP(Table2[[#This Row],[Task Code]],WO_Data_Masterlist[],5,FALSE)," ")</f>
        <v xml:space="preserve"> </v>
      </c>
      <c r="E49" s="179" t="str">
        <f>IFERROR(VLOOKUP(Table2[[#This Row],[Task Code]],WO_Data_Masterlist[],6,FALSE)," ")</f>
        <v xml:space="preserve"> </v>
      </c>
      <c r="F49" s="175" t="e">
        <f>VLOOKUP(Table2[[#This Row],[Task Code]],WO_Data_Masterlist[],7,FALSE)</f>
        <v>#N/A</v>
      </c>
      <c r="G49" s="247" t="e">
        <f>IF(VLOOKUP(Table2[[#This Row],[Task Code]],WO_Data_Masterlist[],15,FALSE)="N/A", 1, VLOOKUP(Table2[[#This Row],[Task Code]],WO_Data_Masterlist[],15,FALSE))</f>
        <v>#N/A</v>
      </c>
      <c r="H49" s="183" t="str">
        <f>IFERROR(VLOOKUP(Table2[[#This Row],[Task Code]],WO_Data_Masterlist[],9,FALSE)*Table2[[#This Row],[Frequency Data]]*Table2[[#This Row],[Quantity Data]]," ")</f>
        <v xml:space="preserve"> </v>
      </c>
      <c r="I49" s="184" t="str">
        <f>IFERROR(VLOOKUP(Table2[[#This Row],[Task Code]],WO_Data_Masterlist[],10,FALSE)*Table2[[#This Row],[Frequency Data]]*Table2[[#This Row],[Quantity Data]]," ")</f>
        <v xml:space="preserve"> </v>
      </c>
      <c r="J49" s="114" t="e">
        <f>VLOOKUP(Table2[[#This Row],[Task Code]],WO_Data_Masterlist[],12,FALSE)*Table2[[#This Row],[Frequency Data]]</f>
        <v>#N/A</v>
      </c>
      <c r="K49" s="25"/>
      <c r="L49" s="25"/>
      <c r="M49" s="25"/>
      <c r="N49" s="131"/>
      <c r="O49" s="25"/>
      <c r="P49" s="25"/>
      <c r="Q49" s="25"/>
      <c r="R49" s="25"/>
      <c r="S49" s="125"/>
      <c r="T49" s="25"/>
      <c r="U49" s="25"/>
      <c r="V49" s="131"/>
      <c r="W49" s="25"/>
      <c r="X49" s="25"/>
      <c r="Y49" s="25"/>
      <c r="Z49" s="25"/>
      <c r="AA49" s="125"/>
      <c r="AB49" s="25"/>
      <c r="AC49" s="25"/>
      <c r="AD49" s="131"/>
      <c r="AE49" s="25"/>
      <c r="AF49" s="25"/>
      <c r="AG49" s="25"/>
      <c r="AH49" s="25"/>
      <c r="AI49" s="125"/>
      <c r="AJ49" s="25"/>
      <c r="AK49" s="25"/>
      <c r="AL49" s="25"/>
      <c r="AM49" s="131"/>
      <c r="AN49" s="25"/>
      <c r="AO49" s="25"/>
      <c r="AP49" s="25"/>
      <c r="AQ49" s="25"/>
      <c r="AR49" s="25"/>
      <c r="AS49" s="125"/>
      <c r="AT49" s="25"/>
      <c r="AU49" s="25"/>
      <c r="AV49" s="131"/>
      <c r="AW49" s="25"/>
      <c r="AX49" s="25"/>
      <c r="AY49" s="25"/>
      <c r="AZ49" s="25"/>
      <c r="BA49" s="25"/>
      <c r="BB49" s="125"/>
      <c r="BC49" s="25"/>
      <c r="BD49" s="25"/>
      <c r="BE49" s="131"/>
      <c r="BF49" s="125"/>
      <c r="BG49" s="25"/>
      <c r="BH49" s="25"/>
      <c r="BI49" s="25"/>
      <c r="BJ49" s="25"/>
      <c r="BK49" s="275" t="str">
        <f>IF(Table2[[#This Row],[Operator]]=0,VLOOKUP(Table2[[#This Row],[Task Code]],WO_Data_Masterlist[],9,FALSE)," ")</f>
        <v xml:space="preserve"> </v>
      </c>
      <c r="BL49" s="10">
        <f>SUM(Table2[[#This Row],[1]:[N/A]])</f>
        <v>0</v>
      </c>
    </row>
    <row r="50" spans="2:64" x14ac:dyDescent="0.25">
      <c r="B50" s="205"/>
      <c r="C50" s="253" t="str">
        <f>IFERROR(VLOOKUP(Table2[[#This Row],[Task Code]],WO_Data_Masterlist[],2,FALSE)," ")</f>
        <v xml:space="preserve"> </v>
      </c>
      <c r="D50" s="181" t="str">
        <f>IFERROR(VLOOKUP(Table2[[#This Row],[Task Code]],WO_Data_Masterlist[],5,FALSE)," ")</f>
        <v xml:space="preserve"> </v>
      </c>
      <c r="E50" s="179" t="str">
        <f>IFERROR(VLOOKUP(Table2[[#This Row],[Task Code]],WO_Data_Masterlist[],6,FALSE)," ")</f>
        <v xml:space="preserve"> </v>
      </c>
      <c r="F50" s="175" t="e">
        <f>VLOOKUP(Table2[[#This Row],[Task Code]],WO_Data_Masterlist[],7,FALSE)</f>
        <v>#N/A</v>
      </c>
      <c r="G50" s="247" t="e">
        <f>IF(VLOOKUP(Table2[[#This Row],[Task Code]],WO_Data_Masterlist[],15,FALSE)="N/A", 1, VLOOKUP(Table2[[#This Row],[Task Code]],WO_Data_Masterlist[],15,FALSE))</f>
        <v>#N/A</v>
      </c>
      <c r="H50" s="173" t="str">
        <f>IFERROR(VLOOKUP(Table2[[#This Row],[Task Code]],WO_Data_Masterlist[],9,FALSE)*Table2[[#This Row],[Frequency Data]]*Table2[[#This Row],[Quantity Data]]," ")</f>
        <v xml:space="preserve"> </v>
      </c>
      <c r="I50" s="174" t="str">
        <f>IFERROR(VLOOKUP(Table2[[#This Row],[Task Code]],WO_Data_Masterlist[],10,FALSE)*Table2[[#This Row],[Frequency Data]]*Table2[[#This Row],[Quantity Data]]," ")</f>
        <v xml:space="preserve"> </v>
      </c>
      <c r="J50" s="114" t="e">
        <f>VLOOKUP(Table2[[#This Row],[Task Code]],WO_Data_Masterlist[],12,FALSE)*Table2[[#This Row],[Frequency Data]]</f>
        <v>#N/A</v>
      </c>
      <c r="K50" s="25"/>
      <c r="L50" s="25"/>
      <c r="M50" s="25"/>
      <c r="N50" s="131"/>
      <c r="O50" s="25"/>
      <c r="P50" s="25"/>
      <c r="Q50" s="25"/>
      <c r="R50" s="25"/>
      <c r="S50" s="125"/>
      <c r="T50" s="25"/>
      <c r="U50" s="25"/>
      <c r="V50" s="131"/>
      <c r="W50" s="25"/>
      <c r="X50" s="25"/>
      <c r="Y50" s="25"/>
      <c r="Z50" s="25"/>
      <c r="AA50" s="125"/>
      <c r="AB50" s="25"/>
      <c r="AC50" s="25"/>
      <c r="AD50" s="131"/>
      <c r="AE50" s="25"/>
      <c r="AF50" s="25"/>
      <c r="AG50" s="25"/>
      <c r="AH50" s="25"/>
      <c r="AI50" s="125"/>
      <c r="AJ50" s="25"/>
      <c r="AK50" s="25"/>
      <c r="AL50" s="25"/>
      <c r="AM50" s="131"/>
      <c r="AN50" s="25"/>
      <c r="AO50" s="25"/>
      <c r="AP50" s="25"/>
      <c r="AQ50" s="25"/>
      <c r="AR50" s="25"/>
      <c r="AS50" s="125"/>
      <c r="AT50" s="25"/>
      <c r="AU50" s="25"/>
      <c r="AV50" s="131"/>
      <c r="AW50" s="25"/>
      <c r="AX50" s="25"/>
      <c r="AY50" s="25"/>
      <c r="AZ50" s="25"/>
      <c r="BA50" s="25"/>
      <c r="BB50" s="125"/>
      <c r="BC50" s="25"/>
      <c r="BD50" s="25"/>
      <c r="BE50" s="131"/>
      <c r="BF50" s="125"/>
      <c r="BG50" s="25"/>
      <c r="BH50" s="25"/>
      <c r="BI50" s="25"/>
      <c r="BJ50" s="25"/>
      <c r="BK50" s="275" t="str">
        <f>IF(Table2[[#This Row],[Operator]]=0,VLOOKUP(Table2[[#This Row],[Task Code]],WO_Data_Masterlist[],9,FALSE)," ")</f>
        <v xml:space="preserve"> </v>
      </c>
      <c r="BL50" s="10">
        <f>SUM(Table2[[#This Row],[1]:[N/A]])</f>
        <v>0</v>
      </c>
    </row>
    <row r="51" spans="2:64" x14ac:dyDescent="0.25">
      <c r="B51" s="205"/>
      <c r="C51" s="253" t="str">
        <f>IFERROR(VLOOKUP(Table2[[#This Row],[Task Code]],WO_Data_Masterlist[],2,FALSE)," ")</f>
        <v xml:space="preserve"> </v>
      </c>
      <c r="D51" s="181" t="str">
        <f>IFERROR(VLOOKUP(Table2[[#This Row],[Task Code]],WO_Data_Masterlist[],5,FALSE)," ")</f>
        <v xml:space="preserve"> </v>
      </c>
      <c r="E51" s="179" t="str">
        <f>IFERROR(VLOOKUP(Table2[[#This Row],[Task Code]],WO_Data_Masterlist[],6,FALSE)," ")</f>
        <v xml:space="preserve"> </v>
      </c>
      <c r="F51" s="175" t="e">
        <f>VLOOKUP(Table2[[#This Row],[Task Code]],WO_Data_Masterlist[],7,FALSE)</f>
        <v>#N/A</v>
      </c>
      <c r="G51" s="247" t="e">
        <f>IF(VLOOKUP(Table2[[#This Row],[Task Code]],WO_Data_Masterlist[],15,FALSE)="N/A", 1, VLOOKUP(Table2[[#This Row],[Task Code]],WO_Data_Masterlist[],15,FALSE))</f>
        <v>#N/A</v>
      </c>
      <c r="H51" s="173" t="str">
        <f>IFERROR(VLOOKUP(Table2[[#This Row],[Task Code]],WO_Data_Masterlist[],9,FALSE)*Table2[[#This Row],[Frequency Data]]*Table2[[#This Row],[Quantity Data]]," ")</f>
        <v xml:space="preserve"> </v>
      </c>
      <c r="I51" s="174" t="str">
        <f>IFERROR(VLOOKUP(Table2[[#This Row],[Task Code]],WO_Data_Masterlist[],10,FALSE)*Table2[[#This Row],[Frequency Data]]*Table2[[#This Row],[Quantity Data]]," ")</f>
        <v xml:space="preserve"> </v>
      </c>
      <c r="J51" s="114" t="e">
        <f>VLOOKUP(Table2[[#This Row],[Task Code]],WO_Data_Masterlist[],12,FALSE)*Table2[[#This Row],[Frequency Data]]</f>
        <v>#N/A</v>
      </c>
      <c r="K51" s="25"/>
      <c r="L51" s="25"/>
      <c r="M51" s="25"/>
      <c r="N51" s="131"/>
      <c r="O51" s="25"/>
      <c r="P51" s="25"/>
      <c r="Q51" s="25"/>
      <c r="R51" s="25"/>
      <c r="S51" s="125"/>
      <c r="T51" s="25"/>
      <c r="U51" s="25"/>
      <c r="V51" s="131"/>
      <c r="W51" s="25"/>
      <c r="X51" s="25"/>
      <c r="Y51" s="25"/>
      <c r="Z51" s="25"/>
      <c r="AA51" s="125"/>
      <c r="AB51" s="25"/>
      <c r="AC51" s="25"/>
      <c r="AD51" s="131"/>
      <c r="AE51" s="25"/>
      <c r="AF51" s="25"/>
      <c r="AG51" s="25"/>
      <c r="AH51" s="25"/>
      <c r="AI51" s="125"/>
      <c r="AJ51" s="25"/>
      <c r="AK51" s="25"/>
      <c r="AL51" s="25"/>
      <c r="AM51" s="131"/>
      <c r="AN51" s="25"/>
      <c r="AO51" s="25"/>
      <c r="AP51" s="25"/>
      <c r="AQ51" s="25"/>
      <c r="AR51" s="25"/>
      <c r="AS51" s="125"/>
      <c r="AT51" s="25"/>
      <c r="AU51" s="25"/>
      <c r="AV51" s="131"/>
      <c r="AW51" s="25"/>
      <c r="AX51" s="25"/>
      <c r="AY51" s="25"/>
      <c r="AZ51" s="25"/>
      <c r="BA51" s="25"/>
      <c r="BB51" s="125"/>
      <c r="BC51" s="25"/>
      <c r="BD51" s="25"/>
      <c r="BE51" s="131"/>
      <c r="BF51" s="125"/>
      <c r="BG51" s="25"/>
      <c r="BH51" s="25"/>
      <c r="BI51" s="25"/>
      <c r="BJ51" s="25"/>
      <c r="BK51" s="275" t="str">
        <f>IF(Table2[[#This Row],[Operator]]=0,VLOOKUP(Table2[[#This Row],[Task Code]],WO_Data_Masterlist[],9,FALSE)," ")</f>
        <v xml:space="preserve"> </v>
      </c>
      <c r="BL51" s="10">
        <f>SUM(Table2[[#This Row],[1]:[N/A]])</f>
        <v>0</v>
      </c>
    </row>
    <row r="52" spans="2:64" s="24" customFormat="1" x14ac:dyDescent="0.25">
      <c r="B52" s="205"/>
      <c r="C52" s="253" t="str">
        <f>IFERROR(VLOOKUP(Table2[[#This Row],[Task Code]],WO_Data_Masterlist[],2,FALSE)," ")</f>
        <v xml:space="preserve"> </v>
      </c>
      <c r="D52" s="180" t="str">
        <f>IFERROR(VLOOKUP(Table2[[#This Row],[Task Code]],WO_Data_Masterlist[],5,FALSE)," ")</f>
        <v xml:space="preserve"> </v>
      </c>
      <c r="E52" s="178" t="str">
        <f>IFERROR(VLOOKUP(Table2[[#This Row],[Task Code]],WO_Data_Masterlist[],6,FALSE)," ")</f>
        <v xml:space="preserve"> </v>
      </c>
      <c r="F52" s="172" t="e">
        <f>VLOOKUP(Table2[[#This Row],[Task Code]],WO_Data_Masterlist[],7,FALSE)</f>
        <v>#N/A</v>
      </c>
      <c r="G52" s="246" t="e">
        <f>IF(VLOOKUP(Table2[[#This Row],[Task Code]],WO_Data_Masterlist[],15,FALSE)="N/A", 1, VLOOKUP(Table2[[#This Row],[Task Code]],WO_Data_Masterlist[],15,FALSE))</f>
        <v>#N/A</v>
      </c>
      <c r="H52" s="173" t="str">
        <f>IFERROR(VLOOKUP(Table2[[#This Row],[Task Code]],WO_Data_Masterlist[],9,FALSE)*Table2[[#This Row],[Frequency Data]]*Table2[[#This Row],[Quantity Data]]," ")</f>
        <v xml:space="preserve"> </v>
      </c>
      <c r="I52" s="174" t="str">
        <f>IFERROR(VLOOKUP(Table2[[#This Row],[Task Code]],WO_Data_Masterlist[],10,FALSE)*Table2[[#This Row],[Frequency Data]]*Table2[[#This Row],[Quantity Data]]," ")</f>
        <v xml:space="preserve"> </v>
      </c>
      <c r="J52" s="167" t="e">
        <f>VLOOKUP(Table2[[#This Row],[Task Code]],WO_Data_Masterlist[],12,FALSE)*Table2[[#This Row],[Frequency Data]]</f>
        <v>#N/A</v>
      </c>
      <c r="K52" s="25"/>
      <c r="L52" s="263"/>
      <c r="M52" s="25"/>
      <c r="N52" s="131"/>
      <c r="O52" s="125"/>
      <c r="P52" s="25"/>
      <c r="Q52" s="25"/>
      <c r="R52" s="25"/>
      <c r="S52" s="125"/>
      <c r="T52" s="25"/>
      <c r="U52" s="25"/>
      <c r="V52" s="131"/>
      <c r="W52" s="125"/>
      <c r="X52" s="25"/>
      <c r="Y52" s="25"/>
      <c r="Z52" s="25"/>
      <c r="AA52" s="125"/>
      <c r="AB52" s="25"/>
      <c r="AC52" s="25"/>
      <c r="AD52" s="131"/>
      <c r="AE52" s="125"/>
      <c r="AF52" s="25"/>
      <c r="AG52" s="25"/>
      <c r="AH52" s="25"/>
      <c r="AI52" s="125"/>
      <c r="AJ52" s="25"/>
      <c r="AK52" s="25"/>
      <c r="AL52" s="25"/>
      <c r="AM52" s="131"/>
      <c r="AN52" s="125"/>
      <c r="AO52" s="25"/>
      <c r="AP52" s="25"/>
      <c r="AQ52" s="25"/>
      <c r="AR52" s="25"/>
      <c r="AS52" s="125"/>
      <c r="AT52" s="25"/>
      <c r="AU52" s="25"/>
      <c r="AV52" s="131"/>
      <c r="AW52" s="125"/>
      <c r="AX52" s="25"/>
      <c r="AY52" s="25"/>
      <c r="AZ52" s="25"/>
      <c r="BA52" s="25"/>
      <c r="BB52" s="125"/>
      <c r="BC52" s="25"/>
      <c r="BD52" s="25"/>
      <c r="BE52" s="131"/>
      <c r="BF52" s="125"/>
      <c r="BG52" s="25"/>
      <c r="BH52" s="25"/>
      <c r="BI52" s="25"/>
      <c r="BJ52" s="263"/>
      <c r="BK52" s="275" t="str">
        <f>IF(Table2[[#This Row],[Operator]]=0,VLOOKUP(Table2[[#This Row],[Task Code]],WO_Data_Masterlist[],9,FALSE)," ")</f>
        <v xml:space="preserve"> </v>
      </c>
      <c r="BL52" s="10">
        <f>SUM(Table2[[#This Row],[1]:[N/A]])</f>
        <v>0</v>
      </c>
    </row>
    <row r="53" spans="2:64" x14ac:dyDescent="0.25">
      <c r="B53" s="205"/>
      <c r="C53" s="253" t="str">
        <f>IFERROR(VLOOKUP(Table2[[#This Row],[Task Code]],WO_Data_Masterlist[],2,FALSE)," ")</f>
        <v xml:space="preserve"> </v>
      </c>
      <c r="D53" s="180" t="str">
        <f>IFERROR(VLOOKUP(Table2[[#This Row],[Task Code]],WO_Data_Masterlist[],5,FALSE)," ")</f>
        <v xml:space="preserve"> </v>
      </c>
      <c r="E53" s="178" t="str">
        <f>IFERROR(VLOOKUP(Table2[[#This Row],[Task Code]],WO_Data_Masterlist[],6,FALSE)," ")</f>
        <v xml:space="preserve"> </v>
      </c>
      <c r="F53" s="172" t="e">
        <f>VLOOKUP(Table2[[#This Row],[Task Code]],WO_Data_Masterlist[],7,FALSE)</f>
        <v>#N/A</v>
      </c>
      <c r="G53" s="246" t="e">
        <f>IF(VLOOKUP(Table2[[#This Row],[Task Code]],WO_Data_Masterlist[],15,FALSE)="N/A", 1, VLOOKUP(Table2[[#This Row],[Task Code]],WO_Data_Masterlist[],15,FALSE))</f>
        <v>#N/A</v>
      </c>
      <c r="H53" s="173" t="str">
        <f>IFERROR(VLOOKUP(Table2[[#This Row],[Task Code]],WO_Data_Masterlist[],9,FALSE)*Table2[[#This Row],[Frequency Data]]*Table2[[#This Row],[Quantity Data]]," ")</f>
        <v xml:space="preserve"> </v>
      </c>
      <c r="I53" s="174" t="str">
        <f>IFERROR(VLOOKUP(Table2[[#This Row],[Task Code]],WO_Data_Masterlist[],10,FALSE)*Table2[[#This Row],[Frequency Data]]*Table2[[#This Row],[Quantity Data]]," ")</f>
        <v xml:space="preserve"> </v>
      </c>
      <c r="J53" s="114" t="e">
        <f>VLOOKUP(Table2[[#This Row],[Task Code]],WO_Data_Masterlist[],12,FALSE)*Table2[[#This Row],[Frequency Data]]</f>
        <v>#N/A</v>
      </c>
      <c r="K53" s="25"/>
      <c r="L53" s="25"/>
      <c r="M53" s="25"/>
      <c r="N53" s="131"/>
      <c r="O53" s="25"/>
      <c r="P53" s="25"/>
      <c r="Q53" s="25"/>
      <c r="R53" s="25"/>
      <c r="S53" s="125"/>
      <c r="T53" s="25"/>
      <c r="U53" s="25"/>
      <c r="V53" s="131"/>
      <c r="W53" s="25"/>
      <c r="X53" s="25"/>
      <c r="Y53" s="25"/>
      <c r="Z53" s="25"/>
      <c r="AA53" s="125"/>
      <c r="AB53" s="25"/>
      <c r="AC53" s="25"/>
      <c r="AD53" s="131"/>
      <c r="AE53" s="25"/>
      <c r="AF53" s="25"/>
      <c r="AG53" s="25"/>
      <c r="AH53" s="25"/>
      <c r="AI53" s="125"/>
      <c r="AJ53" s="25"/>
      <c r="AK53" s="25"/>
      <c r="AL53" s="25"/>
      <c r="AM53" s="131"/>
      <c r="AN53" s="25"/>
      <c r="AO53" s="25"/>
      <c r="AP53" s="25"/>
      <c r="AQ53" s="25"/>
      <c r="AR53" s="25"/>
      <c r="AS53" s="125"/>
      <c r="AT53" s="25"/>
      <c r="AU53" s="25"/>
      <c r="AV53" s="131"/>
      <c r="AW53" s="25"/>
      <c r="AX53" s="25"/>
      <c r="AY53" s="25"/>
      <c r="AZ53" s="25"/>
      <c r="BA53" s="25"/>
      <c r="BB53" s="125"/>
      <c r="BC53" s="25"/>
      <c r="BD53" s="25"/>
      <c r="BE53" s="131"/>
      <c r="BF53" s="125"/>
      <c r="BG53" s="25"/>
      <c r="BH53" s="25"/>
      <c r="BI53" s="25"/>
      <c r="BJ53" s="25"/>
      <c r="BK53" s="275" t="str">
        <f>IF(Table2[[#This Row],[Operator]]=0,VLOOKUP(Table2[[#This Row],[Task Code]],WO_Data_Masterlist[],9,FALSE)," ")</f>
        <v xml:space="preserve"> </v>
      </c>
      <c r="BL53" s="10">
        <f>SUM(Table2[[#This Row],[1]:[N/A]])</f>
        <v>0</v>
      </c>
    </row>
    <row r="54" spans="2:64" x14ac:dyDescent="0.25">
      <c r="B54" s="205"/>
      <c r="C54" s="253" t="str">
        <f>IFERROR(VLOOKUP(Table2[[#This Row],[Task Code]],WO_Data_Masterlist[],2,FALSE)," ")</f>
        <v xml:space="preserve"> </v>
      </c>
      <c r="D54" s="180" t="str">
        <f>IFERROR(VLOOKUP(Table2[[#This Row],[Task Code]],WO_Data_Masterlist[],5,FALSE)," ")</f>
        <v xml:space="preserve"> </v>
      </c>
      <c r="E54" s="178" t="str">
        <f>IFERROR(VLOOKUP(Table2[[#This Row],[Task Code]],WO_Data_Masterlist[],6,FALSE)," ")</f>
        <v xml:space="preserve"> </v>
      </c>
      <c r="F54" s="172" t="e">
        <f>VLOOKUP(Table2[[#This Row],[Task Code]],WO_Data_Masterlist[],7,FALSE)</f>
        <v>#N/A</v>
      </c>
      <c r="G54" s="246" t="e">
        <f>IF(VLOOKUP(Table2[[#This Row],[Task Code]],WO_Data_Masterlist[],15,FALSE)="N/A", 1, VLOOKUP(Table2[[#This Row],[Task Code]],WO_Data_Masterlist[],15,FALSE))</f>
        <v>#N/A</v>
      </c>
      <c r="H54" s="173" t="str">
        <f>IFERROR(VLOOKUP(Table2[[#This Row],[Task Code]],WO_Data_Masterlist[],9,FALSE)*Table2[[#This Row],[Frequency Data]]*Table2[[#This Row],[Quantity Data]]," ")</f>
        <v xml:space="preserve"> </v>
      </c>
      <c r="I54" s="174" t="str">
        <f>IFERROR(VLOOKUP(Table2[[#This Row],[Task Code]],WO_Data_Masterlist[],10,FALSE)*Table2[[#This Row],[Frequency Data]]*Table2[[#This Row],[Quantity Data]]," ")</f>
        <v xml:space="preserve"> </v>
      </c>
      <c r="J54" s="167" t="e">
        <f>VLOOKUP(Table2[[#This Row],[Task Code]],WO_Data_Masterlist[],12,FALSE)*Table2[[#This Row],[Frequency Data]]</f>
        <v>#N/A</v>
      </c>
      <c r="K54" s="25"/>
      <c r="L54" s="25"/>
      <c r="M54" s="25"/>
      <c r="N54" s="131"/>
      <c r="O54" s="25"/>
      <c r="P54" s="25"/>
      <c r="Q54" s="25"/>
      <c r="R54" s="25"/>
      <c r="S54" s="125"/>
      <c r="T54" s="25"/>
      <c r="U54" s="25"/>
      <c r="V54" s="131"/>
      <c r="W54" s="25"/>
      <c r="X54" s="25"/>
      <c r="Y54" s="25"/>
      <c r="Z54" s="25"/>
      <c r="AA54" s="125"/>
      <c r="AB54" s="25"/>
      <c r="AC54" s="25"/>
      <c r="AD54" s="131"/>
      <c r="AE54" s="25"/>
      <c r="AF54" s="25"/>
      <c r="AG54" s="25"/>
      <c r="AH54" s="25"/>
      <c r="AI54" s="125"/>
      <c r="AJ54" s="25"/>
      <c r="AK54" s="25"/>
      <c r="AL54" s="25"/>
      <c r="AM54" s="131"/>
      <c r="AN54" s="25"/>
      <c r="AO54" s="25"/>
      <c r="AP54" s="25"/>
      <c r="AQ54" s="25"/>
      <c r="AR54" s="25"/>
      <c r="AS54" s="125"/>
      <c r="AT54" s="25"/>
      <c r="AU54" s="25"/>
      <c r="AV54" s="131"/>
      <c r="AW54" s="25"/>
      <c r="AX54" s="25"/>
      <c r="AY54" s="25"/>
      <c r="AZ54" s="25"/>
      <c r="BA54" s="25"/>
      <c r="BB54" s="125"/>
      <c r="BC54" s="25"/>
      <c r="BD54" s="25"/>
      <c r="BE54" s="131"/>
      <c r="BF54" s="125"/>
      <c r="BG54" s="25"/>
      <c r="BH54" s="25"/>
      <c r="BI54" s="25"/>
      <c r="BJ54" s="263"/>
      <c r="BK54" s="275" t="str">
        <f>IF(Table2[[#This Row],[Operator]]=0,VLOOKUP(Table2[[#This Row],[Task Code]],WO_Data_Masterlist[],9,FALSE)," ")</f>
        <v xml:space="preserve"> </v>
      </c>
      <c r="BL54" s="10">
        <f>SUM(Table2[[#This Row],[1]:[N/A]])</f>
        <v>0</v>
      </c>
    </row>
    <row r="55" spans="2:64" x14ac:dyDescent="0.25">
      <c r="B55" s="205"/>
      <c r="C55" s="253" t="str">
        <f>IFERROR(VLOOKUP(Table2[[#This Row],[Task Code]],WO_Data_Masterlist[],2,FALSE)," ")</f>
        <v xml:space="preserve"> </v>
      </c>
      <c r="D55" s="180" t="str">
        <f>IFERROR(VLOOKUP(Table2[[#This Row],[Task Code]],WO_Data_Masterlist[],5,FALSE)," ")</f>
        <v xml:space="preserve"> </v>
      </c>
      <c r="E55" s="178" t="str">
        <f>IFERROR(VLOOKUP(Table2[[#This Row],[Task Code]],WO_Data_Masterlist[],6,FALSE)," ")</f>
        <v xml:space="preserve"> </v>
      </c>
      <c r="F55" s="172" t="e">
        <f>VLOOKUP(Table2[[#This Row],[Task Code]],WO_Data_Masterlist[],7,FALSE)</f>
        <v>#N/A</v>
      </c>
      <c r="G55" s="246" t="e">
        <f>IF(VLOOKUP(Table2[[#This Row],[Task Code]],WO_Data_Masterlist[],15,FALSE)="N/A", 1, VLOOKUP(Table2[[#This Row],[Task Code]],WO_Data_Masterlist[],15,FALSE))</f>
        <v>#N/A</v>
      </c>
      <c r="H55" s="173" t="str">
        <f>IFERROR(VLOOKUP(Table2[[#This Row],[Task Code]],WO_Data_Masterlist[],9,FALSE)*Table2[[#This Row],[Frequency Data]]*Table2[[#This Row],[Quantity Data]]," ")</f>
        <v xml:space="preserve"> </v>
      </c>
      <c r="I55" s="174" t="str">
        <f>IFERROR(VLOOKUP(Table2[[#This Row],[Task Code]],WO_Data_Masterlist[],10,FALSE)*Table2[[#This Row],[Frequency Data]]*Table2[[#This Row],[Quantity Data]]," ")</f>
        <v xml:space="preserve"> </v>
      </c>
      <c r="J55" s="167" t="e">
        <f>VLOOKUP(Table2[[#This Row],[Task Code]],WO_Data_Masterlist[],12,FALSE)*Table2[[#This Row],[Frequency Data]]</f>
        <v>#N/A</v>
      </c>
      <c r="K55" s="25"/>
      <c r="L55" s="25"/>
      <c r="M55" s="25"/>
      <c r="N55" s="131"/>
      <c r="O55" s="25"/>
      <c r="P55" s="25"/>
      <c r="Q55" s="25"/>
      <c r="R55" s="25"/>
      <c r="S55" s="125"/>
      <c r="T55" s="25"/>
      <c r="U55" s="25"/>
      <c r="V55" s="131"/>
      <c r="W55" s="25"/>
      <c r="X55" s="25"/>
      <c r="Y55" s="25"/>
      <c r="Z55" s="25"/>
      <c r="AA55" s="125"/>
      <c r="AB55" s="25"/>
      <c r="AC55" s="25"/>
      <c r="AD55" s="131"/>
      <c r="AE55" s="25"/>
      <c r="AF55" s="25"/>
      <c r="AG55" s="25"/>
      <c r="AH55" s="25"/>
      <c r="AI55" s="125"/>
      <c r="AJ55" s="25"/>
      <c r="AK55" s="25"/>
      <c r="AL55" s="25"/>
      <c r="AM55" s="131"/>
      <c r="AN55" s="25"/>
      <c r="AO55" s="25"/>
      <c r="AP55" s="25"/>
      <c r="AQ55" s="25"/>
      <c r="AR55" s="25"/>
      <c r="AS55" s="125"/>
      <c r="AT55" s="25"/>
      <c r="AU55" s="25"/>
      <c r="AV55" s="131"/>
      <c r="AW55" s="25"/>
      <c r="AX55" s="25"/>
      <c r="AY55" s="25"/>
      <c r="AZ55" s="25"/>
      <c r="BA55" s="25"/>
      <c r="BB55" s="125"/>
      <c r="BC55" s="25"/>
      <c r="BD55" s="25"/>
      <c r="BE55" s="131"/>
      <c r="BF55" s="125"/>
      <c r="BG55" s="25"/>
      <c r="BH55" s="25"/>
      <c r="BI55" s="25"/>
      <c r="BJ55" s="263"/>
      <c r="BK55" s="275" t="str">
        <f>IF(Table2[[#This Row],[Operator]]=0,VLOOKUP(Table2[[#This Row],[Task Code]],WO_Data_Masterlist[],9,FALSE)," ")</f>
        <v xml:space="preserve"> </v>
      </c>
      <c r="BL55" s="10">
        <f>SUM(Table2[[#This Row],[1]:[N/A]])</f>
        <v>0</v>
      </c>
    </row>
    <row r="56" spans="2:64" x14ac:dyDescent="0.25">
      <c r="B56" s="205"/>
      <c r="C56" s="253" t="str">
        <f>IFERROR(VLOOKUP(Table2[[#This Row],[Task Code]],WO_Data_Masterlist[],2,FALSE)," ")</f>
        <v xml:space="preserve"> </v>
      </c>
      <c r="D56" s="180" t="str">
        <f>IFERROR(VLOOKUP(Table2[[#This Row],[Task Code]],WO_Data_Masterlist[],5,FALSE)," ")</f>
        <v xml:space="preserve"> </v>
      </c>
      <c r="E56" s="178" t="str">
        <f>IFERROR(VLOOKUP(Table2[[#This Row],[Task Code]],WO_Data_Masterlist[],6,FALSE)," ")</f>
        <v xml:space="preserve"> </v>
      </c>
      <c r="F56" s="172" t="e">
        <f>VLOOKUP(Table2[[#This Row],[Task Code]],WO_Data_Masterlist[],7,FALSE)</f>
        <v>#N/A</v>
      </c>
      <c r="G56" s="246" t="e">
        <f>IF(VLOOKUP(Table2[[#This Row],[Task Code]],WO_Data_Masterlist[],15,FALSE)="N/A", 1, VLOOKUP(Table2[[#This Row],[Task Code]],WO_Data_Masterlist[],15,FALSE))</f>
        <v>#N/A</v>
      </c>
      <c r="H56" s="173" t="str">
        <f>IFERROR(VLOOKUP(Table2[[#This Row],[Task Code]],WO_Data_Masterlist[],9,FALSE)*Table2[[#This Row],[Frequency Data]]*Table2[[#This Row],[Quantity Data]]," ")</f>
        <v xml:space="preserve"> </v>
      </c>
      <c r="I56" s="174" t="str">
        <f>IFERROR(VLOOKUP(Table2[[#This Row],[Task Code]],WO_Data_Masterlist[],10,FALSE)*Table2[[#This Row],[Frequency Data]]*Table2[[#This Row],[Quantity Data]]," ")</f>
        <v xml:space="preserve"> </v>
      </c>
      <c r="J56" s="167" t="e">
        <f>VLOOKUP(Table2[[#This Row],[Task Code]],WO_Data_Masterlist[],12,FALSE)*Table2[[#This Row],[Frequency Data]]</f>
        <v>#N/A</v>
      </c>
      <c r="K56" s="25"/>
      <c r="L56" s="25"/>
      <c r="M56" s="25"/>
      <c r="N56" s="131"/>
      <c r="O56" s="25"/>
      <c r="P56" s="25"/>
      <c r="Q56" s="25"/>
      <c r="R56" s="25"/>
      <c r="S56" s="125"/>
      <c r="T56" s="25"/>
      <c r="U56" s="25"/>
      <c r="V56" s="131"/>
      <c r="W56" s="25"/>
      <c r="X56" s="25"/>
      <c r="Y56" s="25"/>
      <c r="Z56" s="25"/>
      <c r="AA56" s="125"/>
      <c r="AB56" s="25"/>
      <c r="AC56" s="25"/>
      <c r="AD56" s="131"/>
      <c r="AE56" s="25"/>
      <c r="AF56" s="25"/>
      <c r="AG56" s="25"/>
      <c r="AH56" s="25"/>
      <c r="AI56" s="125"/>
      <c r="AJ56" s="25"/>
      <c r="AK56" s="25"/>
      <c r="AL56" s="25"/>
      <c r="AM56" s="131"/>
      <c r="AN56" s="25"/>
      <c r="AO56" s="25"/>
      <c r="AP56" s="25"/>
      <c r="AQ56" s="25"/>
      <c r="AR56" s="25"/>
      <c r="AS56" s="125"/>
      <c r="AT56" s="25"/>
      <c r="AU56" s="25"/>
      <c r="AV56" s="131"/>
      <c r="AW56" s="25"/>
      <c r="AX56" s="25"/>
      <c r="AY56" s="25"/>
      <c r="AZ56" s="25"/>
      <c r="BA56" s="25"/>
      <c r="BB56" s="125"/>
      <c r="BC56" s="25"/>
      <c r="BD56" s="25"/>
      <c r="BE56" s="131"/>
      <c r="BF56" s="125"/>
      <c r="BG56" s="25"/>
      <c r="BH56" s="25"/>
      <c r="BI56" s="25"/>
      <c r="BJ56" s="25"/>
      <c r="BK56" s="275" t="str">
        <f>IF(Table2[[#This Row],[Operator]]=0,VLOOKUP(Table2[[#This Row],[Task Code]],WO_Data_Masterlist[],9,FALSE)," ")</f>
        <v xml:space="preserve"> </v>
      </c>
      <c r="BL56" s="10">
        <f>SUM(Table2[[#This Row],[1]:[N/A]])</f>
        <v>0</v>
      </c>
    </row>
    <row r="57" spans="2:64" x14ac:dyDescent="0.25">
      <c r="B57" s="205"/>
      <c r="C57" s="253" t="str">
        <f>IFERROR(VLOOKUP(Table2[[#This Row],[Task Code]],WO_Data_Masterlist[],2,FALSE)," ")</f>
        <v xml:space="preserve"> </v>
      </c>
      <c r="D57" s="180" t="str">
        <f>IFERROR(VLOOKUP(Table2[[#This Row],[Task Code]],WO_Data_Masterlist[],5,FALSE)," ")</f>
        <v xml:space="preserve"> </v>
      </c>
      <c r="E57" s="178" t="str">
        <f>IFERROR(VLOOKUP(Table2[[#This Row],[Task Code]],WO_Data_Masterlist[],6,FALSE)," ")</f>
        <v xml:space="preserve"> </v>
      </c>
      <c r="F57" s="172" t="e">
        <f>VLOOKUP(Table2[[#This Row],[Task Code]],WO_Data_Masterlist[],7,FALSE)</f>
        <v>#N/A</v>
      </c>
      <c r="G57" s="246" t="e">
        <f>IF(VLOOKUP(Table2[[#This Row],[Task Code]],WO_Data_Masterlist[],15,FALSE)="N/A", 1, VLOOKUP(Table2[[#This Row],[Task Code]],WO_Data_Masterlist[],15,FALSE))</f>
        <v>#N/A</v>
      </c>
      <c r="H57" s="173" t="str">
        <f>IFERROR(VLOOKUP(Table2[[#This Row],[Task Code]],WO_Data_Masterlist[],9,FALSE)*Table2[[#This Row],[Frequency Data]]*Table2[[#This Row],[Quantity Data]]," ")</f>
        <v xml:space="preserve"> </v>
      </c>
      <c r="I57" s="174" t="str">
        <f>IFERROR(VLOOKUP(Table2[[#This Row],[Task Code]],WO_Data_Masterlist[],10,FALSE)*Table2[[#This Row],[Frequency Data]]*Table2[[#This Row],[Quantity Data]]," ")</f>
        <v xml:space="preserve"> </v>
      </c>
      <c r="J57" s="167" t="e">
        <f>VLOOKUP(Table2[[#This Row],[Task Code]],WO_Data_Masterlist[],12,FALSE)*Table2[[#This Row],[Frequency Data]]</f>
        <v>#N/A</v>
      </c>
      <c r="K57" s="25"/>
      <c r="L57" s="25"/>
      <c r="M57" s="25"/>
      <c r="N57" s="131"/>
      <c r="O57" s="25"/>
      <c r="P57" s="25"/>
      <c r="Q57" s="25"/>
      <c r="R57" s="25"/>
      <c r="S57" s="125"/>
      <c r="T57" s="25"/>
      <c r="U57" s="25"/>
      <c r="V57" s="131"/>
      <c r="W57" s="25"/>
      <c r="X57" s="25"/>
      <c r="Y57" s="25"/>
      <c r="Z57" s="25"/>
      <c r="AA57" s="125"/>
      <c r="AB57" s="25"/>
      <c r="AC57" s="25"/>
      <c r="AD57" s="131"/>
      <c r="AE57" s="25"/>
      <c r="AF57" s="25"/>
      <c r="AG57" s="25"/>
      <c r="AH57" s="25"/>
      <c r="AI57" s="125"/>
      <c r="AJ57" s="25"/>
      <c r="AK57" s="25"/>
      <c r="AL57" s="25"/>
      <c r="AM57" s="131"/>
      <c r="AN57" s="25"/>
      <c r="AO57" s="25"/>
      <c r="AP57" s="25"/>
      <c r="AQ57" s="25"/>
      <c r="AR57" s="25"/>
      <c r="AS57" s="125"/>
      <c r="AT57" s="25"/>
      <c r="AU57" s="25"/>
      <c r="AV57" s="131"/>
      <c r="AW57" s="25"/>
      <c r="AX57" s="25"/>
      <c r="AY57" s="25"/>
      <c r="AZ57" s="25"/>
      <c r="BA57" s="25"/>
      <c r="BB57" s="125"/>
      <c r="BC57" s="25"/>
      <c r="BD57" s="25"/>
      <c r="BE57" s="131"/>
      <c r="BF57" s="125"/>
      <c r="BG57" s="25"/>
      <c r="BH57" s="25"/>
      <c r="BI57" s="25"/>
      <c r="BJ57" s="25"/>
      <c r="BK57" s="275" t="str">
        <f>IF(Table2[[#This Row],[Operator]]=0,VLOOKUP(Table2[[#This Row],[Task Code]],WO_Data_Masterlist[],9,FALSE)," ")</f>
        <v xml:space="preserve"> </v>
      </c>
      <c r="BL57" s="10">
        <f>SUM(Table2[[#This Row],[1]:[N/A]])</f>
        <v>0</v>
      </c>
    </row>
    <row r="58" spans="2:64" x14ac:dyDescent="0.25">
      <c r="B58" s="205"/>
      <c r="C58" s="253" t="str">
        <f>IFERROR(VLOOKUP(Table2[[#This Row],[Task Code]],WO_Data_Masterlist[],2,FALSE)," ")</f>
        <v xml:space="preserve"> </v>
      </c>
      <c r="D58" s="180" t="str">
        <f>IFERROR(VLOOKUP(Table2[[#This Row],[Task Code]],WO_Data_Masterlist[],5,FALSE)," ")</f>
        <v xml:space="preserve"> </v>
      </c>
      <c r="E58" s="178" t="str">
        <f>IFERROR(VLOOKUP(Table2[[#This Row],[Task Code]],WO_Data_Masterlist[],6,FALSE)," ")</f>
        <v xml:space="preserve"> </v>
      </c>
      <c r="F58" s="172" t="e">
        <f>VLOOKUP(Table2[[#This Row],[Task Code]],WO_Data_Masterlist[],7,FALSE)</f>
        <v>#N/A</v>
      </c>
      <c r="G58" s="246" t="e">
        <f>IF(VLOOKUP(Table2[[#This Row],[Task Code]],WO_Data_Masterlist[],15,FALSE)="N/A", 1, VLOOKUP(Table2[[#This Row],[Task Code]],WO_Data_Masterlist[],15,FALSE))</f>
        <v>#N/A</v>
      </c>
      <c r="H58" s="173" t="str">
        <f>IFERROR(VLOOKUP(Table2[[#This Row],[Task Code]],WO_Data_Masterlist[],9,FALSE)*Table2[[#This Row],[Frequency Data]]*Table2[[#This Row],[Quantity Data]]," ")</f>
        <v xml:space="preserve"> </v>
      </c>
      <c r="I58" s="174" t="str">
        <f>IFERROR(VLOOKUP(Table2[[#This Row],[Task Code]],WO_Data_Masterlist[],10,FALSE)*Table2[[#This Row],[Frequency Data]]*Table2[[#This Row],[Quantity Data]]," ")</f>
        <v xml:space="preserve"> </v>
      </c>
      <c r="J58" s="167" t="e">
        <f>VLOOKUP(Table2[[#This Row],[Task Code]],WO_Data_Masterlist[],12,FALSE)*Table2[[#This Row],[Frequency Data]]</f>
        <v>#N/A</v>
      </c>
      <c r="K58" s="25"/>
      <c r="L58" s="25"/>
      <c r="M58" s="25"/>
      <c r="N58" s="131"/>
      <c r="O58" s="25"/>
      <c r="P58" s="25"/>
      <c r="Q58" s="25"/>
      <c r="R58" s="25"/>
      <c r="S58" s="125"/>
      <c r="T58" s="25"/>
      <c r="U58" s="25"/>
      <c r="V58" s="131"/>
      <c r="W58" s="25"/>
      <c r="X58" s="25"/>
      <c r="Y58" s="25"/>
      <c r="Z58" s="25"/>
      <c r="AA58" s="125"/>
      <c r="AB58" s="25"/>
      <c r="AC58" s="25"/>
      <c r="AD58" s="131"/>
      <c r="AE58" s="25"/>
      <c r="AF58" s="25"/>
      <c r="AG58" s="25"/>
      <c r="AH58" s="25"/>
      <c r="AI58" s="125"/>
      <c r="AJ58" s="25"/>
      <c r="AK58" s="25"/>
      <c r="AL58" s="25"/>
      <c r="AM58" s="131"/>
      <c r="AN58" s="25"/>
      <c r="AO58" s="25"/>
      <c r="AP58" s="25"/>
      <c r="AQ58" s="25"/>
      <c r="AR58" s="25"/>
      <c r="AS58" s="125"/>
      <c r="AT58" s="25"/>
      <c r="AU58" s="25"/>
      <c r="AV58" s="131"/>
      <c r="AW58" s="25"/>
      <c r="AX58" s="25"/>
      <c r="AY58" s="25"/>
      <c r="AZ58" s="25"/>
      <c r="BA58" s="25"/>
      <c r="BB58" s="125"/>
      <c r="BC58" s="25"/>
      <c r="BD58" s="25"/>
      <c r="BE58" s="131"/>
      <c r="BF58" s="125"/>
      <c r="BG58" s="25"/>
      <c r="BH58" s="25"/>
      <c r="BI58" s="25"/>
      <c r="BJ58" s="263"/>
      <c r="BK58" s="275" t="str">
        <f>IF(Table2[[#This Row],[Operator]]=0,VLOOKUP(Table2[[#This Row],[Task Code]],WO_Data_Masterlist[],9,FALSE)," ")</f>
        <v xml:space="preserve"> </v>
      </c>
      <c r="BL58" s="10">
        <f>SUM(Table2[[#This Row],[1]:[N/A]])</f>
        <v>0</v>
      </c>
    </row>
    <row r="59" spans="2:64" x14ac:dyDescent="0.25">
      <c r="B59" s="205"/>
      <c r="C59" s="253" t="str">
        <f>IFERROR(VLOOKUP(Table2[[#This Row],[Task Code]],WO_Data_Masterlist[],2,FALSE)," ")</f>
        <v xml:space="preserve"> </v>
      </c>
      <c r="D59" s="180" t="str">
        <f>IFERROR(VLOOKUP(Table2[[#This Row],[Task Code]],WO_Data_Masterlist[],5,FALSE)," ")</f>
        <v xml:space="preserve"> </v>
      </c>
      <c r="E59" s="178" t="str">
        <f>IFERROR(VLOOKUP(Table2[[#This Row],[Task Code]],WO_Data_Masterlist[],6,FALSE)," ")</f>
        <v xml:space="preserve"> </v>
      </c>
      <c r="F59" s="172" t="e">
        <f>VLOOKUP(Table2[[#This Row],[Task Code]],WO_Data_Masterlist[],7,FALSE)</f>
        <v>#N/A</v>
      </c>
      <c r="G59" s="246" t="e">
        <f>IF(VLOOKUP(Table2[[#This Row],[Task Code]],WO_Data_Masterlist[],15,FALSE)="N/A", 1, VLOOKUP(Table2[[#This Row],[Task Code]],WO_Data_Masterlist[],15,FALSE))</f>
        <v>#N/A</v>
      </c>
      <c r="H59" s="173" t="str">
        <f>IFERROR(VLOOKUP(Table2[[#This Row],[Task Code]],WO_Data_Masterlist[],9,FALSE)*Table2[[#This Row],[Frequency Data]]*Table2[[#This Row],[Quantity Data]]," ")</f>
        <v xml:space="preserve"> </v>
      </c>
      <c r="I59" s="174" t="str">
        <f>IFERROR(VLOOKUP(Table2[[#This Row],[Task Code]],WO_Data_Masterlist[],10,FALSE)*Table2[[#This Row],[Frequency Data]]*Table2[[#This Row],[Quantity Data]]," ")</f>
        <v xml:space="preserve"> </v>
      </c>
      <c r="J59" s="167" t="e">
        <f>VLOOKUP(Table2[[#This Row],[Task Code]],WO_Data_Masterlist[],12,FALSE)*Table2[[#This Row],[Frequency Data]]</f>
        <v>#N/A</v>
      </c>
      <c r="K59" s="25"/>
      <c r="L59" s="25"/>
      <c r="M59" s="25"/>
      <c r="N59" s="131"/>
      <c r="O59" s="25"/>
      <c r="P59" s="25"/>
      <c r="Q59" s="25"/>
      <c r="R59" s="25"/>
      <c r="S59" s="125"/>
      <c r="T59" s="25"/>
      <c r="U59" s="25"/>
      <c r="V59" s="131"/>
      <c r="W59" s="25"/>
      <c r="X59" s="25"/>
      <c r="Y59" s="25"/>
      <c r="Z59" s="25"/>
      <c r="AA59" s="125"/>
      <c r="AB59" s="25"/>
      <c r="AC59" s="25"/>
      <c r="AD59" s="131"/>
      <c r="AE59" s="25"/>
      <c r="AF59" s="25"/>
      <c r="AG59" s="25"/>
      <c r="AH59" s="25"/>
      <c r="AI59" s="125"/>
      <c r="AJ59" s="25"/>
      <c r="AK59" s="25"/>
      <c r="AL59" s="25"/>
      <c r="AM59" s="131"/>
      <c r="AN59" s="25"/>
      <c r="AO59" s="25"/>
      <c r="AP59" s="25"/>
      <c r="AQ59" s="25"/>
      <c r="AR59" s="25"/>
      <c r="AS59" s="125"/>
      <c r="AT59" s="25"/>
      <c r="AU59" s="25"/>
      <c r="AV59" s="131"/>
      <c r="AW59" s="25"/>
      <c r="AX59" s="25"/>
      <c r="AY59" s="25"/>
      <c r="AZ59" s="25"/>
      <c r="BA59" s="25"/>
      <c r="BB59" s="125"/>
      <c r="BC59" s="25"/>
      <c r="BD59" s="25"/>
      <c r="BE59" s="131"/>
      <c r="BF59" s="125"/>
      <c r="BG59" s="25"/>
      <c r="BH59" s="25"/>
      <c r="BI59" s="25"/>
      <c r="BJ59" s="263"/>
      <c r="BK59" s="275" t="str">
        <f>IF(Table2[[#This Row],[Operator]]=0,VLOOKUP(Table2[[#This Row],[Task Code]],WO_Data_Masterlist[],9,FALSE)," ")</f>
        <v xml:space="preserve"> </v>
      </c>
      <c r="BL59" s="10">
        <f>SUM(Table2[[#This Row],[1]:[N/A]])</f>
        <v>0</v>
      </c>
    </row>
    <row r="60" spans="2:64" x14ac:dyDescent="0.25">
      <c r="B60" s="205"/>
      <c r="C60" s="253" t="str">
        <f>IFERROR(VLOOKUP(Table2[[#This Row],[Task Code]],WO_Data_Masterlist[],2,FALSE)," ")</f>
        <v xml:space="preserve"> </v>
      </c>
      <c r="D60" s="180" t="str">
        <f>IFERROR(VLOOKUP(Table2[[#This Row],[Task Code]],WO_Data_Masterlist[],5,FALSE)," ")</f>
        <v xml:space="preserve"> </v>
      </c>
      <c r="E60" s="178" t="str">
        <f>IFERROR(VLOOKUP(Table2[[#This Row],[Task Code]],WO_Data_Masterlist[],6,FALSE)," ")</f>
        <v xml:space="preserve"> </v>
      </c>
      <c r="F60" s="172" t="e">
        <f>VLOOKUP(Table2[[#This Row],[Task Code]],WO_Data_Masterlist[],7,FALSE)</f>
        <v>#N/A</v>
      </c>
      <c r="G60" s="246" t="e">
        <f>IF(VLOOKUP(Table2[[#This Row],[Task Code]],WO_Data_Masterlist[],15,FALSE)="N/A", 1, VLOOKUP(Table2[[#This Row],[Task Code]],WO_Data_Masterlist[],15,FALSE))</f>
        <v>#N/A</v>
      </c>
      <c r="H60" s="183" t="str">
        <f>IFERROR(VLOOKUP(Table2[[#This Row],[Task Code]],WO_Data_Masterlist[],9,FALSE)*Table2[[#This Row],[Frequency Data]]*Table2[[#This Row],[Quantity Data]]," ")</f>
        <v xml:space="preserve"> </v>
      </c>
      <c r="I60" s="184" t="str">
        <f>IFERROR(VLOOKUP(Table2[[#This Row],[Task Code]],WO_Data_Masterlist[],10,FALSE)*Table2[[#This Row],[Frequency Data]]*Table2[[#This Row],[Quantity Data]]," ")</f>
        <v xml:space="preserve"> </v>
      </c>
      <c r="J60" s="167" t="e">
        <f>VLOOKUP(Table2[[#This Row],[Task Code]],WO_Data_Masterlist[],12,FALSE)*Table2[[#This Row],[Frequency Data]]</f>
        <v>#N/A</v>
      </c>
      <c r="K60" s="115"/>
      <c r="L60" s="25"/>
      <c r="M60" s="115"/>
      <c r="N60" s="131"/>
      <c r="O60" s="115"/>
      <c r="P60" s="25"/>
      <c r="Q60" s="115"/>
      <c r="R60" s="25"/>
      <c r="S60" s="264"/>
      <c r="T60" s="25"/>
      <c r="U60" s="115"/>
      <c r="V60" s="131"/>
      <c r="W60" s="115"/>
      <c r="X60" s="25"/>
      <c r="Y60" s="115"/>
      <c r="Z60" s="25"/>
      <c r="AA60" s="264"/>
      <c r="AB60" s="25"/>
      <c r="AC60" s="115"/>
      <c r="AD60" s="131"/>
      <c r="AE60" s="115"/>
      <c r="AF60" s="25"/>
      <c r="AG60" s="115"/>
      <c r="AH60" s="25"/>
      <c r="AI60" s="264"/>
      <c r="AJ60" s="25"/>
      <c r="AK60" s="115"/>
      <c r="AL60" s="25"/>
      <c r="AM60" s="265"/>
      <c r="AN60" s="25"/>
      <c r="AO60" s="115"/>
      <c r="AP60" s="25"/>
      <c r="AQ60" s="115"/>
      <c r="AR60" s="25"/>
      <c r="AS60" s="264"/>
      <c r="AT60" s="25"/>
      <c r="AU60" s="115"/>
      <c r="AV60" s="131"/>
      <c r="AW60" s="115"/>
      <c r="AX60" s="25"/>
      <c r="AY60" s="115"/>
      <c r="AZ60" s="25"/>
      <c r="BA60" s="115"/>
      <c r="BB60" s="125"/>
      <c r="BC60" s="115"/>
      <c r="BD60" s="25"/>
      <c r="BE60" s="265"/>
      <c r="BF60" s="125"/>
      <c r="BG60" s="115"/>
      <c r="BH60" s="25"/>
      <c r="BI60" s="115"/>
      <c r="BJ60" s="25"/>
      <c r="BK60" s="275" t="str">
        <f>IF(Table2[[#This Row],[Operator]]=0,VLOOKUP(Table2[[#This Row],[Task Code]],WO_Data_Masterlist[],9,FALSE)," ")</f>
        <v xml:space="preserve"> </v>
      </c>
      <c r="BL60" s="10">
        <f>SUM(Table2[[#This Row],[1]:[N/A]])</f>
        <v>0</v>
      </c>
    </row>
    <row r="61" spans="2:64" x14ac:dyDescent="0.25">
      <c r="B61" s="205"/>
      <c r="C61" s="253" t="str">
        <f>IFERROR(VLOOKUP(Table2[[#This Row],[Task Code]],WO_Data_Masterlist[],2,FALSE)," ")</f>
        <v xml:space="preserve"> </v>
      </c>
      <c r="D61" s="180" t="str">
        <f>IFERROR(VLOOKUP(Table2[[#This Row],[Task Code]],WO_Data_Masterlist[],5,FALSE)," ")</f>
        <v xml:space="preserve"> </v>
      </c>
      <c r="E61" s="178" t="str">
        <f>IFERROR(VLOOKUP(Table2[[#This Row],[Task Code]],WO_Data_Masterlist[],6,FALSE)," ")</f>
        <v xml:space="preserve"> </v>
      </c>
      <c r="F61" s="172" t="e">
        <f>VLOOKUP(Table2[[#This Row],[Task Code]],WO_Data_Masterlist[],7,FALSE)</f>
        <v>#N/A</v>
      </c>
      <c r="G61" s="246" t="e">
        <f>IF(VLOOKUP(Table2[[#This Row],[Task Code]],WO_Data_Masterlist[],15,FALSE)="N/A", 1, VLOOKUP(Table2[[#This Row],[Task Code]],WO_Data_Masterlist[],15,FALSE))</f>
        <v>#N/A</v>
      </c>
      <c r="H61" s="173" t="str">
        <f>IFERROR(VLOOKUP(Table2[[#This Row],[Task Code]],WO_Data_Masterlist[],9,FALSE)*Table2[[#This Row],[Frequency Data]]*Table2[[#This Row],[Quantity Data]]," ")</f>
        <v xml:space="preserve"> </v>
      </c>
      <c r="I61" s="174" t="str">
        <f>IFERROR(VLOOKUP(Table2[[#This Row],[Task Code]],WO_Data_Masterlist[],10,FALSE)*Table2[[#This Row],[Frequency Data]]*Table2[[#This Row],[Quantity Data]]," ")</f>
        <v xml:space="preserve"> </v>
      </c>
      <c r="J61" s="167" t="e">
        <f>VLOOKUP(Table2[[#This Row],[Task Code]],WO_Data_Masterlist[],12,FALSE)*Table2[[#This Row],[Frequency Data]]</f>
        <v>#N/A</v>
      </c>
      <c r="K61" s="266"/>
      <c r="L61" s="266"/>
      <c r="M61" s="266"/>
      <c r="N61" s="267"/>
      <c r="O61" s="266"/>
      <c r="P61" s="266"/>
      <c r="Q61" s="266"/>
      <c r="R61" s="266"/>
      <c r="S61" s="125"/>
      <c r="T61" s="25"/>
      <c r="U61" s="25"/>
      <c r="V61" s="131"/>
      <c r="W61" s="25"/>
      <c r="X61" s="25"/>
      <c r="Y61" s="25"/>
      <c r="Z61" s="25"/>
      <c r="AA61" s="125"/>
      <c r="AB61" s="25"/>
      <c r="AC61" s="25"/>
      <c r="AD61" s="131"/>
      <c r="AE61" s="25"/>
      <c r="AF61" s="25"/>
      <c r="AG61" s="25"/>
      <c r="AH61" s="25"/>
      <c r="AI61" s="125"/>
      <c r="AJ61" s="25"/>
      <c r="AK61" s="25"/>
      <c r="AL61" s="25"/>
      <c r="AM61" s="131"/>
      <c r="AN61" s="25"/>
      <c r="AO61" s="25"/>
      <c r="AP61" s="25"/>
      <c r="AQ61" s="25"/>
      <c r="AR61" s="25"/>
      <c r="AS61" s="125"/>
      <c r="AT61" s="25"/>
      <c r="AU61" s="25"/>
      <c r="AV61" s="131"/>
      <c r="AW61" s="25"/>
      <c r="AX61" s="25"/>
      <c r="AY61" s="25"/>
      <c r="AZ61" s="25"/>
      <c r="BA61" s="25"/>
      <c r="BB61" s="125"/>
      <c r="BC61" s="25"/>
      <c r="BD61" s="25"/>
      <c r="BE61" s="131"/>
      <c r="BF61" s="125"/>
      <c r="BG61" s="25"/>
      <c r="BH61" s="25"/>
      <c r="BI61" s="25"/>
      <c r="BJ61" s="25"/>
      <c r="BK61" s="275" t="str">
        <f>IF(Table2[[#This Row],[Operator]]=0,VLOOKUP(Table2[[#This Row],[Task Code]],WO_Data_Masterlist[],9,FALSE)," ")</f>
        <v xml:space="preserve"> </v>
      </c>
      <c r="BL61" s="10">
        <f>SUM(Table2[[#This Row],[1]:[N/A]])</f>
        <v>0</v>
      </c>
    </row>
    <row r="62" spans="2:64" x14ac:dyDescent="0.25">
      <c r="B62" s="205"/>
      <c r="C62" s="253" t="str">
        <f>IFERROR(VLOOKUP(Table2[[#This Row],[Task Code]],WO_Data_Masterlist[],2,FALSE)," ")</f>
        <v xml:space="preserve"> </v>
      </c>
      <c r="D62" s="180" t="str">
        <f>IFERROR(VLOOKUP(Table2[[#This Row],[Task Code]],WO_Data_Masterlist[],5,FALSE)," ")</f>
        <v xml:space="preserve"> </v>
      </c>
      <c r="E62" s="178" t="str">
        <f>IFERROR(VLOOKUP(Table2[[#This Row],[Task Code]],WO_Data_Masterlist[],6,FALSE)," ")</f>
        <v xml:space="preserve"> </v>
      </c>
      <c r="F62" s="172" t="e">
        <f>VLOOKUP(Table2[[#This Row],[Task Code]],WO_Data_Masterlist[],7,FALSE)</f>
        <v>#N/A</v>
      </c>
      <c r="G62" s="246" t="e">
        <f>IF(VLOOKUP(Table2[[#This Row],[Task Code]],WO_Data_Masterlist[],15,FALSE)="N/A", 1, VLOOKUP(Table2[[#This Row],[Task Code]],WO_Data_Masterlist[],15,FALSE))</f>
        <v>#N/A</v>
      </c>
      <c r="H62" s="173" t="str">
        <f>IFERROR(VLOOKUP(Table2[[#This Row],[Task Code]],WO_Data_Masterlist[],9,FALSE)*Table2[[#This Row],[Frequency Data]]*Table2[[#This Row],[Quantity Data]]," ")</f>
        <v xml:space="preserve"> </v>
      </c>
      <c r="I62" s="174" t="str">
        <f>IFERROR(VLOOKUP(Table2[[#This Row],[Task Code]],WO_Data_Masterlist[],10,FALSE)*Table2[[#This Row],[Frequency Data]]*Table2[[#This Row],[Quantity Data]]," ")</f>
        <v xml:space="preserve"> </v>
      </c>
      <c r="J62" s="167" t="e">
        <f>VLOOKUP(Table2[[#This Row],[Task Code]],WO_Data_Masterlist[],12,FALSE)*Table2[[#This Row],[Frequency Data]]</f>
        <v>#N/A</v>
      </c>
      <c r="K62" s="115"/>
      <c r="L62" s="25"/>
      <c r="M62" s="115"/>
      <c r="N62" s="131"/>
      <c r="O62" s="115"/>
      <c r="P62" s="25"/>
      <c r="Q62" s="115"/>
      <c r="R62" s="25"/>
      <c r="S62" s="264"/>
      <c r="T62" s="25"/>
      <c r="U62" s="115"/>
      <c r="V62" s="131"/>
      <c r="W62" s="115"/>
      <c r="X62" s="25"/>
      <c r="Y62" s="115"/>
      <c r="Z62" s="25"/>
      <c r="AA62" s="264"/>
      <c r="AB62" s="25"/>
      <c r="AC62" s="115"/>
      <c r="AD62" s="131"/>
      <c r="AE62" s="115"/>
      <c r="AF62" s="25"/>
      <c r="AG62" s="115"/>
      <c r="AH62" s="25"/>
      <c r="AI62" s="264"/>
      <c r="AJ62" s="25"/>
      <c r="AK62" s="115"/>
      <c r="AL62" s="25"/>
      <c r="AM62" s="265"/>
      <c r="AN62" s="25"/>
      <c r="AO62" s="115"/>
      <c r="AP62" s="25"/>
      <c r="AQ62" s="115"/>
      <c r="AR62" s="25"/>
      <c r="AS62" s="264"/>
      <c r="AT62" s="25"/>
      <c r="AU62" s="115"/>
      <c r="AV62" s="131"/>
      <c r="AW62" s="115"/>
      <c r="AX62" s="25"/>
      <c r="AY62" s="115"/>
      <c r="AZ62" s="25"/>
      <c r="BA62" s="115"/>
      <c r="BB62" s="125"/>
      <c r="BC62" s="115"/>
      <c r="BD62" s="25"/>
      <c r="BE62" s="265"/>
      <c r="BF62" s="125"/>
      <c r="BG62" s="115"/>
      <c r="BH62" s="25"/>
      <c r="BI62" s="115"/>
      <c r="BJ62" s="25"/>
      <c r="BK62" s="275" t="str">
        <f>IF(Table2[[#This Row],[Operator]]=0,VLOOKUP(Table2[[#This Row],[Task Code]],WO_Data_Masterlist[],9,FALSE)," ")</f>
        <v xml:space="preserve"> </v>
      </c>
      <c r="BL62" s="10">
        <f>SUM(Table2[[#This Row],[1]:[N/A]])</f>
        <v>0</v>
      </c>
    </row>
    <row r="63" spans="2:64" x14ac:dyDescent="0.25">
      <c r="B63" s="205"/>
      <c r="C63" s="253" t="str">
        <f>IFERROR(VLOOKUP(Table2[[#This Row],[Task Code]],WO_Data_Masterlist[],2,FALSE)," ")</f>
        <v xml:space="preserve"> </v>
      </c>
      <c r="D63" s="180" t="str">
        <f>IFERROR(VLOOKUP(Table2[[#This Row],[Task Code]],WO_Data_Masterlist[],5,FALSE)," ")</f>
        <v xml:space="preserve"> </v>
      </c>
      <c r="E63" s="178" t="str">
        <f>IFERROR(VLOOKUP(Table2[[#This Row],[Task Code]],WO_Data_Masterlist[],6,FALSE)," ")</f>
        <v xml:space="preserve"> </v>
      </c>
      <c r="F63" s="172" t="e">
        <f>VLOOKUP(Table2[[#This Row],[Task Code]],WO_Data_Masterlist[],7,FALSE)</f>
        <v>#N/A</v>
      </c>
      <c r="G63" s="246" t="e">
        <f>IF(VLOOKUP(Table2[[#This Row],[Task Code]],WO_Data_Masterlist[],15,FALSE)="N/A", 1, VLOOKUP(Table2[[#This Row],[Task Code]],WO_Data_Masterlist[],15,FALSE))</f>
        <v>#N/A</v>
      </c>
      <c r="H63" s="173" t="str">
        <f>IFERROR(VLOOKUP(Table2[[#This Row],[Task Code]],WO_Data_Masterlist[],9,FALSE)*Table2[[#This Row],[Frequency Data]]*Table2[[#This Row],[Quantity Data]]," ")</f>
        <v xml:space="preserve"> </v>
      </c>
      <c r="I63" s="174" t="str">
        <f>IFERROR(VLOOKUP(Table2[[#This Row],[Task Code]],WO_Data_Masterlist[],10,FALSE)*Table2[[#This Row],[Frequency Data]]*Table2[[#This Row],[Quantity Data]]," ")</f>
        <v xml:space="preserve"> </v>
      </c>
      <c r="J63" s="167" t="e">
        <f>VLOOKUP(Table2[[#This Row],[Task Code]],WO_Data_Masterlist[],12,FALSE)*Table2[[#This Row],[Frequency Data]]</f>
        <v>#N/A</v>
      </c>
      <c r="K63" s="25"/>
      <c r="L63" s="25"/>
      <c r="M63" s="25"/>
      <c r="N63" s="131"/>
      <c r="O63" s="25"/>
      <c r="P63" s="25"/>
      <c r="Q63" s="25"/>
      <c r="R63" s="25"/>
      <c r="S63" s="125"/>
      <c r="T63" s="25"/>
      <c r="U63" s="25"/>
      <c r="V63" s="131"/>
      <c r="W63" s="25"/>
      <c r="X63" s="25"/>
      <c r="Y63" s="25"/>
      <c r="Z63" s="25"/>
      <c r="AA63" s="125"/>
      <c r="AB63" s="25"/>
      <c r="AC63" s="25"/>
      <c r="AD63" s="131"/>
      <c r="AE63" s="25"/>
      <c r="AF63" s="25"/>
      <c r="AG63" s="25"/>
      <c r="AH63" s="25"/>
      <c r="AI63" s="125"/>
      <c r="AJ63" s="25"/>
      <c r="AK63" s="25"/>
      <c r="AL63" s="25"/>
      <c r="AM63" s="131"/>
      <c r="AN63" s="25"/>
      <c r="AO63" s="25"/>
      <c r="AP63" s="25"/>
      <c r="AQ63" s="25"/>
      <c r="AR63" s="25"/>
      <c r="AS63" s="125"/>
      <c r="AT63" s="25"/>
      <c r="AU63" s="25"/>
      <c r="AV63" s="131"/>
      <c r="AW63" s="25"/>
      <c r="AX63" s="25"/>
      <c r="AY63" s="25"/>
      <c r="AZ63" s="25"/>
      <c r="BA63" s="25"/>
      <c r="BB63" s="125"/>
      <c r="BC63" s="25"/>
      <c r="BD63" s="25"/>
      <c r="BE63" s="131"/>
      <c r="BF63" s="125"/>
      <c r="BG63" s="25"/>
      <c r="BH63" s="25"/>
      <c r="BI63" s="25"/>
      <c r="BJ63" s="263"/>
      <c r="BK63" s="275" t="str">
        <f>IF(Table2[[#This Row],[Operator]]=0,VLOOKUP(Table2[[#This Row],[Task Code]],WO_Data_Masterlist[],9,FALSE)," ")</f>
        <v xml:space="preserve"> </v>
      </c>
      <c r="BL63" s="10">
        <f>SUM(Table2[[#This Row],[1]:[N/A]])</f>
        <v>0</v>
      </c>
    </row>
    <row r="64" spans="2:64" x14ac:dyDescent="0.25">
      <c r="B64" s="205"/>
      <c r="C64" s="253" t="str">
        <f>IFERROR(VLOOKUP(Table2[[#This Row],[Task Code]],WO_Data_Masterlist[],2,FALSE)," ")</f>
        <v xml:space="preserve"> </v>
      </c>
      <c r="D64" s="180" t="str">
        <f>IFERROR(VLOOKUP(Table2[[#This Row],[Task Code]],WO_Data_Masterlist[],5,FALSE)," ")</f>
        <v xml:space="preserve"> </v>
      </c>
      <c r="E64" s="178" t="str">
        <f>IFERROR(VLOOKUP(Table2[[#This Row],[Task Code]],WO_Data_Masterlist[],6,FALSE)," ")</f>
        <v xml:space="preserve"> </v>
      </c>
      <c r="F64" s="172" t="e">
        <f>VLOOKUP(Table2[[#This Row],[Task Code]],WO_Data_Masterlist[],7,FALSE)</f>
        <v>#N/A</v>
      </c>
      <c r="G64" s="246" t="e">
        <f>IF(VLOOKUP(Table2[[#This Row],[Task Code]],WO_Data_Masterlist[],15,FALSE)="N/A", 1, VLOOKUP(Table2[[#This Row],[Task Code]],WO_Data_Masterlist[],15,FALSE))</f>
        <v>#N/A</v>
      </c>
      <c r="H64" s="173" t="str">
        <f>IFERROR(VLOOKUP(Table2[[#This Row],[Task Code]],WO_Data_Masterlist[],9,FALSE)*Table2[[#This Row],[Frequency Data]]*Table2[[#This Row],[Quantity Data]]," ")</f>
        <v xml:space="preserve"> </v>
      </c>
      <c r="I64" s="174" t="str">
        <f>IFERROR(VLOOKUP(Table2[[#This Row],[Task Code]],WO_Data_Masterlist[],10,FALSE)*Table2[[#This Row],[Frequency Data]]*Table2[[#This Row],[Quantity Data]]," ")</f>
        <v xml:space="preserve"> </v>
      </c>
      <c r="J64" s="167" t="e">
        <f>VLOOKUP(Table2[[#This Row],[Task Code]],WO_Data_Masterlist[],12,FALSE)*Table2[[#This Row],[Frequency Data]]</f>
        <v>#N/A</v>
      </c>
      <c r="K64" s="25"/>
      <c r="L64" s="25"/>
      <c r="M64" s="25"/>
      <c r="N64" s="131"/>
      <c r="O64" s="25"/>
      <c r="P64" s="25"/>
      <c r="Q64" s="25"/>
      <c r="R64" s="25"/>
      <c r="S64" s="125"/>
      <c r="T64" s="25"/>
      <c r="U64" s="25"/>
      <c r="V64" s="131"/>
      <c r="W64" s="25"/>
      <c r="X64" s="25"/>
      <c r="Y64" s="25"/>
      <c r="Z64" s="25"/>
      <c r="AA64" s="125"/>
      <c r="AB64" s="25"/>
      <c r="AC64" s="25"/>
      <c r="AD64" s="25"/>
      <c r="AE64" s="25"/>
      <c r="AF64" s="25"/>
      <c r="AG64" s="25"/>
      <c r="AH64" s="25"/>
      <c r="AI64" s="125"/>
      <c r="AJ64" s="25"/>
      <c r="AK64" s="25"/>
      <c r="AL64" s="25"/>
      <c r="AM64" s="131"/>
      <c r="AN64" s="25"/>
      <c r="AO64" s="25"/>
      <c r="AP64" s="25"/>
      <c r="AQ64" s="25"/>
      <c r="AR64" s="25"/>
      <c r="AS64" s="125"/>
      <c r="AT64" s="25"/>
      <c r="AU64" s="25"/>
      <c r="AV64" s="131"/>
      <c r="AW64" s="25"/>
      <c r="AX64" s="25"/>
      <c r="AY64" s="25"/>
      <c r="AZ64" s="25"/>
      <c r="BA64" s="25"/>
      <c r="BB64" s="125"/>
      <c r="BC64" s="25"/>
      <c r="BD64" s="25"/>
      <c r="BE64" s="131"/>
      <c r="BF64" s="125"/>
      <c r="BG64" s="25"/>
      <c r="BH64" s="25"/>
      <c r="BI64" s="25"/>
      <c r="BJ64" s="25"/>
      <c r="BK64" s="275" t="str">
        <f>IF(Table2[[#This Row],[Operator]]=0,VLOOKUP(Table2[[#This Row],[Task Code]],WO_Data_Masterlist[],9,FALSE)," ")</f>
        <v xml:space="preserve"> </v>
      </c>
      <c r="BL64" s="10">
        <f>SUM(Table2[[#This Row],[1]:[N/A]])</f>
        <v>0</v>
      </c>
    </row>
  </sheetData>
  <mergeCells count="27">
    <mergeCell ref="H18:J18"/>
    <mergeCell ref="AE8:AH8"/>
    <mergeCell ref="H16:I16"/>
    <mergeCell ref="H17:I17"/>
    <mergeCell ref="H15:I15"/>
    <mergeCell ref="AE10:AH10"/>
    <mergeCell ref="X4:AH4"/>
    <mergeCell ref="X5:AH5"/>
    <mergeCell ref="AE6:AH6"/>
    <mergeCell ref="AE7:AH7"/>
    <mergeCell ref="AE9:AH9"/>
    <mergeCell ref="R2:T3"/>
    <mergeCell ref="X10:AD10"/>
    <mergeCell ref="F20:I20"/>
    <mergeCell ref="K19:BJ19"/>
    <mergeCell ref="J20:N20"/>
    <mergeCell ref="AS20:AV20"/>
    <mergeCell ref="O20:R20"/>
    <mergeCell ref="S20:V20"/>
    <mergeCell ref="BF20:BJ20"/>
    <mergeCell ref="AW20:BA20"/>
    <mergeCell ref="BB20:BE20"/>
    <mergeCell ref="W20:Z20"/>
    <mergeCell ref="AA20:AD20"/>
    <mergeCell ref="AE20:AH20"/>
    <mergeCell ref="AI20:AM20"/>
    <mergeCell ref="AN20:AR20"/>
  </mergeCells>
  <phoneticPr fontId="10" type="noConversion"/>
  <conditionalFormatting sqref="H22:H64">
    <cfRule type="expression" dxfId="135" priority="1">
      <formula>H22=SUM($K22:$BJ22)</formula>
    </cfRule>
  </conditionalFormatting>
  <hyperlinks>
    <hyperlink ref="R2:T3" location="'TABLE OF CONTENTS'!A1" display="Return to Table of Contents" xr:uid="{8BE79328-36B4-49D1-B5E5-0C8BC4F4A4BD}"/>
  </hyperlinks>
  <pageMargins left="0.25" right="0.25" top="0.75" bottom="0.75" header="0.3" footer="0.3"/>
  <pageSetup paperSize="17" scale="51"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808D-C463-4BDD-90C1-0ECF98E0D853}">
  <sheetPr>
    <tabColor theme="9" tint="0.59999389629810485"/>
    <pageSetUpPr fitToPage="1"/>
  </sheetPr>
  <dimension ref="B1:P81"/>
  <sheetViews>
    <sheetView zoomScale="75" zoomScaleNormal="75" workbookViewId="0">
      <selection activeCell="N43" sqref="N43"/>
    </sheetView>
  </sheetViews>
  <sheetFormatPr defaultColWidth="9.140625" defaultRowHeight="15" x14ac:dyDescent="0.25"/>
  <cols>
    <col min="1" max="1" width="5.28515625" style="24" customWidth="1"/>
    <col min="2" max="3" width="12" style="24" customWidth="1"/>
    <col min="4" max="4" width="23" style="24" customWidth="1"/>
    <col min="5" max="5" width="60.140625" style="24" bestFit="1" customWidth="1"/>
    <col min="6" max="6" width="12.42578125" style="24" customWidth="1"/>
    <col min="7" max="8" width="12.42578125" style="24" hidden="1" customWidth="1"/>
    <col min="9" max="9" width="12.7109375" style="24" customWidth="1"/>
    <col min="10" max="10" width="11.140625" style="24" customWidth="1"/>
    <col min="11" max="11" width="18.7109375" style="24" bestFit="1" customWidth="1"/>
    <col min="12" max="12" width="10.7109375" style="24" bestFit="1" customWidth="1"/>
    <col min="13" max="13" width="18" style="24" customWidth="1"/>
    <col min="14" max="14" width="19.42578125" style="24" bestFit="1" customWidth="1"/>
    <col min="15" max="15" width="14.140625" style="24" bestFit="1" customWidth="1"/>
    <col min="16" max="16" width="18.7109375" style="24" bestFit="1" customWidth="1"/>
    <col min="17" max="16384" width="9.140625" style="24"/>
  </cols>
  <sheetData>
    <row r="1" spans="2:16" ht="15.75" thickBot="1" x14ac:dyDescent="0.3">
      <c r="J1" s="10"/>
    </row>
    <row r="2" spans="2:16" ht="15" customHeight="1" x14ac:dyDescent="0.25">
      <c r="J2" s="29"/>
      <c r="K2" s="459" t="s">
        <v>130</v>
      </c>
      <c r="N2" s="31" t="s">
        <v>141</v>
      </c>
      <c r="O2" s="32"/>
    </row>
    <row r="3" spans="2:16" x14ac:dyDescent="0.25">
      <c r="J3" s="29"/>
      <c r="K3" s="460"/>
      <c r="N3" s="33" t="s">
        <v>142</v>
      </c>
      <c r="O3" s="34">
        <f>'TABLE OF CONTENTS'!K15</f>
        <v>31</v>
      </c>
    </row>
    <row r="4" spans="2:16" ht="15.75" thickBot="1" x14ac:dyDescent="0.3">
      <c r="N4" s="35" t="s">
        <v>1</v>
      </c>
      <c r="O4" s="36">
        <f>'TABLE OF CONTENTS'!K16</f>
        <v>16.466620689655173</v>
      </c>
    </row>
    <row r="5" spans="2:16" ht="15.75" thickBot="1" x14ac:dyDescent="0.3"/>
    <row r="6" spans="2:16" ht="15.75" x14ac:dyDescent="0.25">
      <c r="L6" s="48" t="s">
        <v>194</v>
      </c>
      <c r="M6" s="188"/>
      <c r="N6" s="188"/>
      <c r="O6" s="307"/>
    </row>
    <row r="7" spans="2:16" ht="15.75" x14ac:dyDescent="0.25">
      <c r="H7" s="37"/>
      <c r="L7" s="186" t="s">
        <v>178</v>
      </c>
      <c r="M7" s="185"/>
      <c r="N7" s="185"/>
      <c r="O7" s="308" t="str" cm="1">
        <f t="array" ref="O7">IFERROR(SUM(Table210[Operator]*O3)," ")</f>
        <v xml:space="preserve"> </v>
      </c>
    </row>
    <row r="8" spans="2:16" ht="15.75" x14ac:dyDescent="0.25">
      <c r="B8" s="1"/>
      <c r="C8" s="1"/>
      <c r="D8" s="1"/>
      <c r="L8" s="186" t="s">
        <v>1</v>
      </c>
      <c r="M8" s="185"/>
      <c r="N8" s="185"/>
      <c r="O8" s="308">
        <f>IFERROR((SUM(Table210[Truck])*O4)," ")</f>
        <v>0</v>
      </c>
    </row>
    <row r="9" spans="2:16" ht="15.75" x14ac:dyDescent="0.25">
      <c r="B9" s="1"/>
      <c r="C9" s="1"/>
      <c r="D9" s="1"/>
      <c r="E9" s="150"/>
      <c r="L9" s="186" t="s">
        <v>2</v>
      </c>
      <c r="M9" s="185"/>
      <c r="N9" s="185"/>
      <c r="O9" s="308" t="str" cm="1">
        <f t="array" ref="O9">IFERROR(SUM(Table210[Contractor]*Table210[Frequency Data]*Table210[Quantity2])," ")</f>
        <v xml:space="preserve"> </v>
      </c>
    </row>
    <row r="10" spans="2:16" ht="15.75" x14ac:dyDescent="0.25">
      <c r="B10" s="1"/>
      <c r="C10" s="1"/>
      <c r="D10" s="1"/>
      <c r="L10" s="186" t="s">
        <v>4</v>
      </c>
      <c r="M10" s="185"/>
      <c r="N10" s="185"/>
      <c r="O10" s="308" t="str" cm="1">
        <f t="array" ref="O10">IFERROR(SUM(Table210[Equipment]*Table210[Frequency Data]*Table210[Quantity2])," ")</f>
        <v xml:space="preserve"> </v>
      </c>
    </row>
    <row r="11" spans="2:16" ht="15.75" x14ac:dyDescent="0.25">
      <c r="B11" s="1"/>
      <c r="C11" s="1"/>
      <c r="D11" s="1"/>
      <c r="L11" s="186" t="s">
        <v>46</v>
      </c>
      <c r="M11" s="185"/>
      <c r="N11" s="185"/>
      <c r="O11" s="308" t="str" cm="1">
        <f t="array" ref="O11">IFERROR(SUM(Table210[Parts &amp; Materials]*Table210[Frequency Data]*Table210[Quantity2])," ")</f>
        <v xml:space="preserve"> </v>
      </c>
    </row>
    <row r="12" spans="2:16" ht="15.75" x14ac:dyDescent="0.25">
      <c r="B12" s="24" t="s">
        <v>322</v>
      </c>
      <c r="L12" s="187" t="s">
        <v>353</v>
      </c>
      <c r="M12" s="190"/>
      <c r="N12" s="190"/>
      <c r="O12" s="309">
        <f>IFERROR(SUM(Table210[Annual Energy Cost])," ")</f>
        <v>0</v>
      </c>
      <c r="P12" s="111"/>
    </row>
    <row r="13" spans="2:16" ht="16.5" thickBot="1" x14ac:dyDescent="0.3">
      <c r="B13" s="1" t="s">
        <v>45</v>
      </c>
      <c r="C13" s="1"/>
      <c r="D13" s="1"/>
      <c r="L13" s="49" t="s">
        <v>475</v>
      </c>
      <c r="M13" s="189"/>
      <c r="N13" s="189"/>
      <c r="O13" s="50">
        <f>SUM(O7:O12)</f>
        <v>0</v>
      </c>
      <c r="P13" s="37"/>
    </row>
    <row r="14" spans="2:16" ht="15.75" x14ac:dyDescent="0.25">
      <c r="B14" s="1"/>
      <c r="C14" s="1"/>
      <c r="D14" s="1"/>
      <c r="L14" s="276"/>
      <c r="M14" s="277"/>
      <c r="N14" s="277"/>
      <c r="O14" s="278"/>
      <c r="P14" s="37"/>
    </row>
    <row r="15" spans="2:16" ht="15.75" x14ac:dyDescent="0.25">
      <c r="B15" s="1"/>
      <c r="C15" s="1"/>
      <c r="D15" s="1"/>
      <c r="L15" s="276"/>
      <c r="M15" s="277"/>
      <c r="N15" s="277"/>
      <c r="O15" s="278"/>
      <c r="P15" s="37"/>
    </row>
    <row r="17" spans="2:15" x14ac:dyDescent="0.25">
      <c r="B17" s="463" t="s">
        <v>195</v>
      </c>
      <c r="C17" s="464"/>
      <c r="D17" s="464"/>
      <c r="E17" s="464"/>
      <c r="F17" s="465"/>
      <c r="G17" s="44"/>
      <c r="H17" s="44"/>
      <c r="I17" s="461" t="s">
        <v>13</v>
      </c>
      <c r="J17" s="462"/>
      <c r="K17" s="461" t="s">
        <v>373</v>
      </c>
      <c r="L17" s="466"/>
      <c r="M17" s="462"/>
    </row>
    <row r="18" spans="2:15" x14ac:dyDescent="0.25">
      <c r="B18" s="4" t="s">
        <v>10</v>
      </c>
      <c r="C18" s="4" t="s">
        <v>351</v>
      </c>
      <c r="D18" s="4" t="s">
        <v>352</v>
      </c>
      <c r="E18" s="4" t="s">
        <v>11</v>
      </c>
      <c r="F18" s="41" t="s">
        <v>12</v>
      </c>
      <c r="G18" s="41" t="s">
        <v>193</v>
      </c>
      <c r="H18" s="41" t="s">
        <v>380</v>
      </c>
      <c r="I18" s="5" t="s">
        <v>178</v>
      </c>
      <c r="J18" s="5" t="s">
        <v>1</v>
      </c>
      <c r="K18" s="5" t="s">
        <v>2</v>
      </c>
      <c r="L18" s="5" t="s">
        <v>4</v>
      </c>
      <c r="M18" s="5" t="s">
        <v>46</v>
      </c>
      <c r="N18" s="5" t="s">
        <v>266</v>
      </c>
      <c r="O18" s="5" t="s">
        <v>47</v>
      </c>
    </row>
    <row r="19" spans="2:15" x14ac:dyDescent="0.25">
      <c r="B19" s="205"/>
      <c r="C19" s="214" t="str">
        <f>IFERROR(VLOOKUP(Table210[[#This Row],[Task Code]],WO_Data_Masterlist[],2,FALSE)," ")</f>
        <v xml:space="preserve"> </v>
      </c>
      <c r="D19" s="214" t="str">
        <f>IFERROR(VLOOKUP(Table210[[#This Row],[Task Code]],WO_Data_Masterlist[],4,FALSE)," ")</f>
        <v xml:space="preserve"> </v>
      </c>
      <c r="E19" s="2" t="str">
        <f>IFERROR(VLOOKUP(Table210[[#This Row],[Task Code]],WO_Data_Masterlist[],5,FALSE)," ")</f>
        <v xml:space="preserve"> </v>
      </c>
      <c r="F19" s="2" t="str">
        <f>IFERROR(VLOOKUP(Table210[[#This Row],[Task Code]],WO_Data_Masterlist[],6,FALSE)," ")</f>
        <v xml:space="preserve"> </v>
      </c>
      <c r="G19" s="2" t="e">
        <f>VLOOKUP(Table210[[#This Row],[Task Code]],WO_Data_Masterlist[],7,FALSE)</f>
        <v>#N/A</v>
      </c>
      <c r="H19" s="2" t="e">
        <f>IF(VLOOKUP(Table210[[#This Row],[Task Code]],WO_Data_Masterlist[],15,FALSE)="N/A",1,VLOOKUP(Table210[[#This Row],[Task Code]],WO_Data_Masterlist[],15,FALSE))</f>
        <v>#N/A</v>
      </c>
      <c r="I19" s="40" t="str">
        <f>IFERROR(VLOOKUP(Table210[[#This Row],[Task Code]],WO_Data_Masterlist[],9,FALSE)*Table210[[#This Row],[Frequency Data]]*Table210[[#This Row],[Quantity2]]," ")</f>
        <v xml:space="preserve"> </v>
      </c>
      <c r="J19" s="40" t="str">
        <f>IFERROR(VLOOKUP(Table210[[#This Row],[Task Code]],WO_Data_Masterlist[],10,FALSE)*Table210[[#This Row],[Frequency Data]]*Table210[[#This Row],[Quantity2]]," ")</f>
        <v xml:space="preserve"> </v>
      </c>
      <c r="K19" s="9" t="str">
        <f>IFERROR(VLOOKUP(Table210[[#This Row],[Task Code]],WO_Data_Masterlist[],11,FALSE)," ")</f>
        <v xml:space="preserve"> </v>
      </c>
      <c r="L19" s="9" t="str">
        <f>IFERROR(VLOOKUP(Table210[[#This Row],[Task Code]],WO_Data_Masterlist[],12,FALSE)," ")</f>
        <v xml:space="preserve"> </v>
      </c>
      <c r="M19" s="9" t="str">
        <f>IFERROR(VLOOKUP(Table210[[#This Row],[Task Code]],WO_Data_Masterlist[],13,FALSE)," ")</f>
        <v xml:space="preserve"> </v>
      </c>
      <c r="N19" s="9" t="str">
        <f>IFERROR(VLOOKUP(Table210[[#This Row],[Task Code]],WO_Data_Masterlist[],17,FALSE)," ")</f>
        <v xml:space="preserve"> </v>
      </c>
      <c r="O19" s="37" t="str">
        <f>IFERROR(((Table210[[#This Row],[Operator]]*$O$3)+(Table210[[#This Row],[Truck]]*$O$4)+(((Table210[[#This Row],[Contractor]]+Table210[[#This Row],[Equipment]]+Table210[[#This Row],[Parts &amp; Materials]])*Table210[[#This Row],[Quantity2]])*Table210[[#This Row],[Frequency Data]]))+Table210[[#This Row],[Annual Energy Cost]]," ")</f>
        <v xml:space="preserve"> </v>
      </c>
    </row>
    <row r="20" spans="2:15" x14ac:dyDescent="0.25">
      <c r="B20" s="205"/>
      <c r="C20" s="214" t="str">
        <f>IFERROR(VLOOKUP(Table210[[#This Row],[Task Code]],WO_Data_Masterlist[],2,FALSE)," ")</f>
        <v xml:space="preserve"> </v>
      </c>
      <c r="D20" s="214" t="str">
        <f>IFERROR(VLOOKUP(Table210[[#This Row],[Task Code]],WO_Data_Masterlist[],4,FALSE)," ")</f>
        <v xml:space="preserve"> </v>
      </c>
      <c r="E20" s="2" t="str">
        <f>IFERROR(VLOOKUP(Table210[[#This Row],[Task Code]],WO_Data_Masterlist[],5,FALSE)," ")</f>
        <v xml:space="preserve"> </v>
      </c>
      <c r="F20" s="2" t="str">
        <f>IFERROR(VLOOKUP(Table210[[#This Row],[Task Code]],WO_Data_Masterlist[],6,FALSE)," ")</f>
        <v xml:space="preserve"> </v>
      </c>
      <c r="G20" s="2" t="e">
        <f>VLOOKUP(Table210[[#This Row],[Task Code]],WO_Data_Masterlist[],7,FALSE)</f>
        <v>#N/A</v>
      </c>
      <c r="H20" s="2" t="e">
        <f>IF(VLOOKUP(Table210[[#This Row],[Task Code]],WO_Data_Masterlist[],15,FALSE)="N/A",1,VLOOKUP(Table210[[#This Row],[Task Code]],WO_Data_Masterlist[],15,FALSE))</f>
        <v>#N/A</v>
      </c>
      <c r="I20" s="40" t="str">
        <f>IFERROR(VLOOKUP(Table210[[#This Row],[Task Code]],WO_Data_Masterlist[],9,FALSE)*Table210[[#This Row],[Frequency Data]]*Table210[[#This Row],[Quantity2]]," ")</f>
        <v xml:space="preserve"> </v>
      </c>
      <c r="J20" s="40" t="str">
        <f>IFERROR(VLOOKUP(Table210[[#This Row],[Task Code]],WO_Data_Masterlist[],10,FALSE)*Table210[[#This Row],[Frequency Data]]*Table210[[#This Row],[Quantity2]]," ")</f>
        <v xml:space="preserve"> </v>
      </c>
      <c r="K20" s="9" t="str">
        <f>IFERROR(VLOOKUP(Table210[[#This Row],[Task Code]],WO_Data_Masterlist[],11,FALSE)," ")</f>
        <v xml:space="preserve"> </v>
      </c>
      <c r="L20" s="9" t="str">
        <f>IFERROR(VLOOKUP(Table210[[#This Row],[Task Code]],WO_Data_Masterlist[],12,FALSE)," ")</f>
        <v xml:space="preserve"> </v>
      </c>
      <c r="M20" s="9" t="str">
        <f>IFERROR(VLOOKUP(Table210[[#This Row],[Task Code]],WO_Data_Masterlist[],13,FALSE)," ")</f>
        <v xml:space="preserve"> </v>
      </c>
      <c r="N20" s="9" t="str">
        <f>IFERROR(VLOOKUP(Table210[[#This Row],[Task Code]],WO_Data_Masterlist[],17,FALSE)," ")</f>
        <v xml:space="preserve"> </v>
      </c>
      <c r="O20" s="37" t="str">
        <f>IFERROR(((Table210[[#This Row],[Operator]]*$O$3)+(Table210[[#This Row],[Truck]]*$O$4)+(((Table210[[#This Row],[Contractor]]+Table210[[#This Row],[Equipment]]+Table210[[#This Row],[Parts &amp; Materials]])*Table210[[#This Row],[Quantity2]])*Table210[[#This Row],[Frequency Data]]))+Table210[[#This Row],[Annual Energy Cost]]," ")</f>
        <v xml:space="preserve"> </v>
      </c>
    </row>
    <row r="21" spans="2:15" x14ac:dyDescent="0.25">
      <c r="B21" s="205"/>
      <c r="C21" s="214" t="str">
        <f>IFERROR(VLOOKUP(Table210[[#This Row],[Task Code]],WO_Data_Masterlist[],2,FALSE)," ")</f>
        <v xml:space="preserve"> </v>
      </c>
      <c r="D21" s="214" t="str">
        <f>IFERROR(VLOOKUP(Table210[[#This Row],[Task Code]],WO_Data_Masterlist[],4,FALSE)," ")</f>
        <v xml:space="preserve"> </v>
      </c>
      <c r="E21" s="2" t="str">
        <f>IFERROR(VLOOKUP(Table210[[#This Row],[Task Code]],WO_Data_Masterlist[],5,FALSE)," ")</f>
        <v xml:space="preserve"> </v>
      </c>
      <c r="F21" s="2" t="str">
        <f>IFERROR(VLOOKUP(Table210[[#This Row],[Task Code]],WO_Data_Masterlist[],6,FALSE)," ")</f>
        <v xml:space="preserve"> </v>
      </c>
      <c r="G21" s="2" t="e">
        <f>VLOOKUP(Table210[[#This Row],[Task Code]],WO_Data_Masterlist[],7,FALSE)</f>
        <v>#N/A</v>
      </c>
      <c r="H21" s="2" t="e">
        <f>IF(VLOOKUP(Table210[[#This Row],[Task Code]],WO_Data_Masterlist[],15,FALSE)="N/A",1,VLOOKUP(Table210[[#This Row],[Task Code]],WO_Data_Masterlist[],15,FALSE))</f>
        <v>#N/A</v>
      </c>
      <c r="I21" s="40" t="str">
        <f>IFERROR(VLOOKUP(Table210[[#This Row],[Task Code]],WO_Data_Masterlist[],9,FALSE)*Table210[[#This Row],[Frequency Data]]*Table210[[#This Row],[Quantity2]]," ")</f>
        <v xml:space="preserve"> </v>
      </c>
      <c r="J21" s="40" t="str">
        <f>IFERROR(VLOOKUP(Table210[[#This Row],[Task Code]],WO_Data_Masterlist[],10,FALSE)*Table210[[#This Row],[Frequency Data]]*Table210[[#This Row],[Quantity2]]," ")</f>
        <v xml:space="preserve"> </v>
      </c>
      <c r="K21" s="9" t="str">
        <f>IFERROR(VLOOKUP(Table210[[#This Row],[Task Code]],WO_Data_Masterlist[],11,FALSE)," ")</f>
        <v xml:space="preserve"> </v>
      </c>
      <c r="L21" s="9" t="str">
        <f>IFERROR(VLOOKUP(Table210[[#This Row],[Task Code]],WO_Data_Masterlist[],12,FALSE)," ")</f>
        <v xml:space="preserve"> </v>
      </c>
      <c r="M21" s="9" t="str">
        <f>IFERROR(VLOOKUP(Table210[[#This Row],[Task Code]],WO_Data_Masterlist[],13,FALSE)," ")</f>
        <v xml:space="preserve"> </v>
      </c>
      <c r="N21" s="9" t="str">
        <f>IFERROR(VLOOKUP(Table210[[#This Row],[Task Code]],WO_Data_Masterlist[],17,FALSE)," ")</f>
        <v xml:space="preserve"> </v>
      </c>
      <c r="O21" s="37" t="str">
        <f>IFERROR(((Table210[[#This Row],[Operator]]*$O$3)+(Table210[[#This Row],[Truck]]*$O$4)+(((Table210[[#This Row],[Contractor]]+Table210[[#This Row],[Equipment]]+Table210[[#This Row],[Parts &amp; Materials]])*Table210[[#This Row],[Quantity2]])*Table210[[#This Row],[Frequency Data]]))+Table210[[#This Row],[Annual Energy Cost]]," ")</f>
        <v xml:space="preserve"> </v>
      </c>
    </row>
    <row r="22" spans="2:15" x14ac:dyDescent="0.25">
      <c r="B22" s="205"/>
      <c r="C22" s="214" t="str">
        <f>IFERROR(VLOOKUP(Table210[[#This Row],[Task Code]],WO_Data_Masterlist[],2,FALSE)," ")</f>
        <v xml:space="preserve"> </v>
      </c>
      <c r="D22" s="214" t="str">
        <f>IFERROR(VLOOKUP(Table210[[#This Row],[Task Code]],WO_Data_Masterlist[],4,FALSE)," ")</f>
        <v xml:space="preserve"> </v>
      </c>
      <c r="E22" s="28" t="str">
        <f>IFERROR(VLOOKUP(Table210[[#This Row],[Task Code]],WO_Data_Masterlist[],5,FALSE)," ")</f>
        <v xml:space="preserve"> </v>
      </c>
      <c r="F22" s="28" t="str">
        <f>IFERROR(VLOOKUP(Table210[[#This Row],[Task Code]],WO_Data_Masterlist[],6,FALSE)," ")</f>
        <v xml:space="preserve"> </v>
      </c>
      <c r="G22" s="28" t="e">
        <f>VLOOKUP(Table210[[#This Row],[Task Code]],WO_Data_Masterlist[],7,FALSE)</f>
        <v>#N/A</v>
      </c>
      <c r="H22" s="28" t="e">
        <f>IF(VLOOKUP(Table210[[#This Row],[Task Code]],WO_Data_Masterlist[],15,FALSE)="N/A",1,VLOOKUP(Table210[[#This Row],[Task Code]],WO_Data_Masterlist[],15,FALSE))</f>
        <v>#N/A</v>
      </c>
      <c r="I22" s="40" t="str">
        <f>IFERROR(VLOOKUP(Table210[[#This Row],[Task Code]],WO_Data_Masterlist[],9,FALSE)*Table210[[#This Row],[Frequency Data]]*Table210[[#This Row],[Quantity2]]," ")</f>
        <v xml:space="preserve"> </v>
      </c>
      <c r="J22" s="40" t="str">
        <f>IFERROR(VLOOKUP(Table210[[#This Row],[Task Code]],WO_Data_Masterlist[],10,FALSE)*Table210[[#This Row],[Frequency Data]]*Table210[[#This Row],[Quantity2]]," ")</f>
        <v xml:space="preserve"> </v>
      </c>
      <c r="K22" s="42" t="str">
        <f>IFERROR(VLOOKUP(Table210[[#This Row],[Task Code]],WO_Data_Masterlist[],11,FALSE)," ")</f>
        <v xml:space="preserve"> </v>
      </c>
      <c r="L22" s="9" t="str">
        <f>IFERROR(VLOOKUP(Table210[[#This Row],[Task Code]],WO_Data_Masterlist[],12,FALSE)," ")</f>
        <v xml:space="preserve"> </v>
      </c>
      <c r="M22" s="9" t="str">
        <f>IFERROR(VLOOKUP(Table210[[#This Row],[Task Code]],WO_Data_Masterlist[],13,FALSE)," ")</f>
        <v xml:space="preserve"> </v>
      </c>
      <c r="N22" s="9" t="str">
        <f>IFERROR(VLOOKUP(Table210[[#This Row],[Task Code]],WO_Data_Masterlist[],17,FALSE)," ")</f>
        <v xml:space="preserve"> </v>
      </c>
      <c r="O22" s="37" t="str">
        <f>IFERROR(((Table210[[#This Row],[Operator]]*$O$3)+(Table210[[#This Row],[Truck]]*$O$4)+(((Table210[[#This Row],[Contractor]]+Table210[[#This Row],[Equipment]]+Table210[[#This Row],[Parts &amp; Materials]])*Table210[[#This Row],[Quantity2]])*Table210[[#This Row],[Frequency Data]]))+Table210[[#This Row],[Annual Energy Cost]]," ")</f>
        <v xml:space="preserve"> </v>
      </c>
    </row>
    <row r="23" spans="2:15" x14ac:dyDescent="0.25">
      <c r="B23" s="205"/>
      <c r="C23" s="219" t="str">
        <f>IFERROR(VLOOKUP(Table210[[#This Row],[Task Code]],WO_Data_Masterlist[],2,FALSE)," ")</f>
        <v xml:space="preserve"> </v>
      </c>
      <c r="D23" s="219" t="str">
        <f>IFERROR(VLOOKUP(Table210[[#This Row],[Task Code]],WO_Data_Masterlist[],4,FALSE)," ")</f>
        <v xml:space="preserve"> </v>
      </c>
      <c r="E23" s="28" t="str">
        <f>IFERROR(VLOOKUP(Table210[[#This Row],[Task Code]],WO_Data_Masterlist[],5,FALSE)," ")</f>
        <v xml:space="preserve"> </v>
      </c>
      <c r="F23" s="28" t="str">
        <f>IFERROR(VLOOKUP(Table210[[#This Row],[Task Code]],WO_Data_Masterlist[],6,FALSE)," ")</f>
        <v xml:space="preserve"> </v>
      </c>
      <c r="G23" s="28" t="e">
        <f>VLOOKUP(Table210[[#This Row],[Task Code]],WO_Data_Masterlist[],7,FALSE)</f>
        <v>#N/A</v>
      </c>
      <c r="H23" s="28" t="e">
        <f>IF(VLOOKUP(Table210[[#This Row],[Task Code]],WO_Data_Masterlist[],15,FALSE)="N/A",1,VLOOKUP(Table210[[#This Row],[Task Code]],WO_Data_Masterlist[],15,FALSE))</f>
        <v>#N/A</v>
      </c>
      <c r="I23" s="40" t="str">
        <f>IFERROR(VLOOKUP(Table210[[#This Row],[Task Code]],WO_Data_Masterlist[],9,FALSE)*Table210[[#This Row],[Frequency Data]]*Table210[[#This Row],[Quantity2]]," ")</f>
        <v xml:space="preserve"> </v>
      </c>
      <c r="J23" s="40" t="str">
        <f>IFERROR(VLOOKUP(Table210[[#This Row],[Task Code]],WO_Data_Masterlist[],10,FALSE)*Table210[[#This Row],[Frequency Data]]*Table210[[#This Row],[Quantity2]]," ")</f>
        <v xml:space="preserve"> </v>
      </c>
      <c r="K23" s="42" t="str">
        <f>IFERROR(VLOOKUP(Table210[[#This Row],[Task Code]],WO_Data_Masterlist[],11,FALSE)," ")</f>
        <v xml:space="preserve"> </v>
      </c>
      <c r="L23" s="9" t="str">
        <f>IFERROR(VLOOKUP(Table210[[#This Row],[Task Code]],WO_Data_Masterlist[],12,FALSE)," ")</f>
        <v xml:space="preserve"> </v>
      </c>
      <c r="M23" s="9" t="str">
        <f>IFERROR(VLOOKUP(Table210[[#This Row],[Task Code]],WO_Data_Masterlist[],13,FALSE)," ")</f>
        <v xml:space="preserve"> </v>
      </c>
      <c r="N23" s="42" t="str">
        <f>IFERROR(VLOOKUP(Table210[[#This Row],[Task Code]],WO_Data_Masterlist[],17,FALSE)," ")</f>
        <v xml:space="preserve"> </v>
      </c>
      <c r="O23" s="37" t="str">
        <f>IFERROR(((Table210[[#This Row],[Operator]]*$O$3)+(Table210[[#This Row],[Truck]]*$O$4)+(((Table210[[#This Row],[Contractor]]+Table210[[#This Row],[Equipment]]+Table210[[#This Row],[Parts &amp; Materials]])*Table210[[#This Row],[Quantity2]])*Table210[[#This Row],[Frequency Data]]))+Table210[[#This Row],[Annual Energy Cost]]," ")</f>
        <v xml:space="preserve"> </v>
      </c>
    </row>
    <row r="24" spans="2:15" x14ac:dyDescent="0.25">
      <c r="B24" s="205"/>
      <c r="C24" s="219" t="str">
        <f>IFERROR(VLOOKUP(Table210[[#This Row],[Task Code]],WO_Data_Masterlist[],2,FALSE)," ")</f>
        <v xml:space="preserve"> </v>
      </c>
      <c r="D24" s="219" t="str">
        <f>IFERROR(VLOOKUP(Table210[[#This Row],[Task Code]],WO_Data_Masterlist[],4,FALSE)," ")</f>
        <v xml:space="preserve"> </v>
      </c>
      <c r="E24" s="28" t="str">
        <f>IFERROR(VLOOKUP(Table210[[#This Row],[Task Code]],WO_Data_Masterlist[],5,FALSE)," ")</f>
        <v xml:space="preserve"> </v>
      </c>
      <c r="F24" s="28" t="str">
        <f>IFERROR(VLOOKUP(Table210[[#This Row],[Task Code]],WO_Data_Masterlist[],6,FALSE)," ")</f>
        <v xml:space="preserve"> </v>
      </c>
      <c r="G24" s="28" t="e">
        <f>VLOOKUP(Table210[[#This Row],[Task Code]],WO_Data_Masterlist[],7,FALSE)</f>
        <v>#N/A</v>
      </c>
      <c r="H24" s="28" t="e">
        <f>IF(VLOOKUP(Table210[[#This Row],[Task Code]],WO_Data_Masterlist[],15,FALSE)="N/A",1,VLOOKUP(Table210[[#This Row],[Task Code]],WO_Data_Masterlist[],15,FALSE))</f>
        <v>#N/A</v>
      </c>
      <c r="I24" s="40" t="str">
        <f>IFERROR(VLOOKUP(Table210[[#This Row],[Task Code]],WO_Data_Masterlist[],9,FALSE)*Table210[[#This Row],[Frequency Data]]*Table210[[#This Row],[Quantity2]]," ")</f>
        <v xml:space="preserve"> </v>
      </c>
      <c r="J24" s="40" t="str">
        <f>IFERROR(VLOOKUP(Table210[[#This Row],[Task Code]],WO_Data_Masterlist[],10,FALSE)*Table210[[#This Row],[Frequency Data]]*Table210[[#This Row],[Quantity2]]," ")</f>
        <v xml:space="preserve"> </v>
      </c>
      <c r="K24" s="42" t="str">
        <f>IFERROR(VLOOKUP(Table210[[#This Row],[Task Code]],WO_Data_Masterlist[],11,FALSE)," ")</f>
        <v xml:space="preserve"> </v>
      </c>
      <c r="L24" s="9" t="str">
        <f>IFERROR(VLOOKUP(Table210[[#This Row],[Task Code]],WO_Data_Masterlist[],12,FALSE)," ")</f>
        <v xml:space="preserve"> </v>
      </c>
      <c r="M24" s="9" t="str">
        <f>IFERROR(VLOOKUP(Table210[[#This Row],[Task Code]],WO_Data_Masterlist[],13,FALSE)," ")</f>
        <v xml:space="preserve"> </v>
      </c>
      <c r="N24" s="42" t="str">
        <f>IFERROR(VLOOKUP(Table210[[#This Row],[Task Code]],WO_Data_Masterlist[],17,FALSE)," ")</f>
        <v xml:space="preserve"> </v>
      </c>
      <c r="O24" s="37" t="str">
        <f>IFERROR(((Table210[[#This Row],[Operator]]*$O$3)+(Table210[[#This Row],[Truck]]*$O$4)+(((Table210[[#This Row],[Contractor]]+Table210[[#This Row],[Equipment]]+Table210[[#This Row],[Parts &amp; Materials]])*Table210[[#This Row],[Quantity2]])*Table210[[#This Row],[Frequency Data]]))+Table210[[#This Row],[Annual Energy Cost]]," ")</f>
        <v xml:space="preserve"> </v>
      </c>
    </row>
    <row r="25" spans="2:15" x14ac:dyDescent="0.25">
      <c r="B25" s="205"/>
      <c r="C25" s="219" t="str">
        <f>IFERROR(VLOOKUP(Table210[[#This Row],[Task Code]],WO_Data_Masterlist[],2,FALSE)," ")</f>
        <v xml:space="preserve"> </v>
      </c>
      <c r="D25" s="219" t="str">
        <f>IFERROR(VLOOKUP(Table210[[#This Row],[Task Code]],WO_Data_Masterlist[],4,FALSE)," ")</f>
        <v xml:space="preserve"> </v>
      </c>
      <c r="E25" s="28" t="str">
        <f>IFERROR(VLOOKUP(Table210[[#This Row],[Task Code]],WO_Data_Masterlist[],5,FALSE)," ")</f>
        <v xml:space="preserve"> </v>
      </c>
      <c r="F25" s="28" t="str">
        <f>IFERROR(VLOOKUP(Table210[[#This Row],[Task Code]],WO_Data_Masterlist[],6,FALSE)," ")</f>
        <v xml:space="preserve"> </v>
      </c>
      <c r="G25" s="28" t="e">
        <f>VLOOKUP(Table210[[#This Row],[Task Code]],WO_Data_Masterlist[],7,FALSE)</f>
        <v>#N/A</v>
      </c>
      <c r="H25" s="28" t="e">
        <f>IF(VLOOKUP(Table210[[#This Row],[Task Code]],WO_Data_Masterlist[],15,FALSE)="N/A",1,VLOOKUP(Table210[[#This Row],[Task Code]],WO_Data_Masterlist[],15,FALSE))</f>
        <v>#N/A</v>
      </c>
      <c r="I25" s="40" t="str">
        <f>IFERROR(VLOOKUP(Table210[[#This Row],[Task Code]],WO_Data_Masterlist[],9,FALSE)*Table210[[#This Row],[Frequency Data]]*Table210[[#This Row],[Quantity2]]," ")</f>
        <v xml:space="preserve"> </v>
      </c>
      <c r="J25" s="40" t="str">
        <f>IFERROR(VLOOKUP(Table210[[#This Row],[Task Code]],WO_Data_Masterlist[],10,FALSE)*Table210[[#This Row],[Frequency Data]]*Table210[[#This Row],[Quantity2]]," ")</f>
        <v xml:space="preserve"> </v>
      </c>
      <c r="K25" s="42" t="str">
        <f>IFERROR(VLOOKUP(Table210[[#This Row],[Task Code]],WO_Data_Masterlist[],11,FALSE)," ")</f>
        <v xml:space="preserve"> </v>
      </c>
      <c r="L25" s="9" t="str">
        <f>IFERROR(VLOOKUP(Table210[[#This Row],[Task Code]],WO_Data_Masterlist[],12,FALSE)," ")</f>
        <v xml:space="preserve"> </v>
      </c>
      <c r="M25" s="9" t="str">
        <f>IFERROR(VLOOKUP(Table210[[#This Row],[Task Code]],WO_Data_Masterlist[],13,FALSE)," ")</f>
        <v xml:space="preserve"> </v>
      </c>
      <c r="N25" s="42" t="str">
        <f>IFERROR(VLOOKUP(Table210[[#This Row],[Task Code]],WO_Data_Masterlist[],17,FALSE)," ")</f>
        <v xml:space="preserve"> </v>
      </c>
      <c r="O25" s="37" t="str">
        <f>IFERROR(((Table210[[#This Row],[Operator]]*$O$3)+(Table210[[#This Row],[Truck]]*$O$4)+(((Table210[[#This Row],[Contractor]]+Table210[[#This Row],[Equipment]]+Table210[[#This Row],[Parts &amp; Materials]])*Table210[[#This Row],[Quantity2]])*Table210[[#This Row],[Frequency Data]]))+Table210[[#This Row],[Annual Energy Cost]]," ")</f>
        <v xml:space="preserve"> </v>
      </c>
    </row>
    <row r="26" spans="2:15" x14ac:dyDescent="0.25">
      <c r="B26" s="205"/>
      <c r="C26" s="219" t="str">
        <f>IFERROR(VLOOKUP(Table210[[#This Row],[Task Code]],WO_Data_Masterlist[],2,FALSE)," ")</f>
        <v xml:space="preserve"> </v>
      </c>
      <c r="D26" s="219" t="str">
        <f>IFERROR(VLOOKUP(Table210[[#This Row],[Task Code]],WO_Data_Masterlist[],4,FALSE)," ")</f>
        <v xml:space="preserve"> </v>
      </c>
      <c r="E26" s="28" t="str">
        <f>IFERROR(VLOOKUP(Table210[[#This Row],[Task Code]],WO_Data_Masterlist[],5,FALSE)," ")</f>
        <v xml:space="preserve"> </v>
      </c>
      <c r="F26" s="28" t="str">
        <f>IFERROR(VLOOKUP(Table210[[#This Row],[Task Code]],WO_Data_Masterlist[],6,FALSE)," ")</f>
        <v xml:space="preserve"> </v>
      </c>
      <c r="G26" s="28" t="e">
        <f>VLOOKUP(Table210[[#This Row],[Task Code]],WO_Data_Masterlist[],7,FALSE)</f>
        <v>#N/A</v>
      </c>
      <c r="H26" s="28" t="e">
        <f>IF(VLOOKUP(Table210[[#This Row],[Task Code]],WO_Data_Masterlist[],15,FALSE)="N/A",1,VLOOKUP(Table210[[#This Row],[Task Code]],WO_Data_Masterlist[],15,FALSE))</f>
        <v>#N/A</v>
      </c>
      <c r="I26" s="40" t="str">
        <f>IFERROR(VLOOKUP(Table210[[#This Row],[Task Code]],WO_Data_Masterlist[],9,FALSE)*Table210[[#This Row],[Frequency Data]]*Table210[[#This Row],[Quantity2]]," ")</f>
        <v xml:space="preserve"> </v>
      </c>
      <c r="J26" s="40" t="str">
        <f>IFERROR(VLOOKUP(Table210[[#This Row],[Task Code]],WO_Data_Masterlist[],10,FALSE)*Table210[[#This Row],[Frequency Data]]*Table210[[#This Row],[Quantity2]]," ")</f>
        <v xml:space="preserve"> </v>
      </c>
      <c r="K26" s="42" t="str">
        <f>IFERROR(VLOOKUP(Table210[[#This Row],[Task Code]],WO_Data_Masterlist[],11,FALSE)," ")</f>
        <v xml:space="preserve"> </v>
      </c>
      <c r="L26" s="9" t="str">
        <f>IFERROR(VLOOKUP(Table210[[#This Row],[Task Code]],WO_Data_Masterlist[],12,FALSE)," ")</f>
        <v xml:space="preserve"> </v>
      </c>
      <c r="M26" s="9" t="str">
        <f>IFERROR(VLOOKUP(Table210[[#This Row],[Task Code]],WO_Data_Masterlist[],13,FALSE)," ")</f>
        <v xml:space="preserve"> </v>
      </c>
      <c r="N26" s="42" t="str">
        <f>IFERROR(VLOOKUP(Table210[[#This Row],[Task Code]],WO_Data_Masterlist[],17,FALSE)," ")</f>
        <v xml:space="preserve"> </v>
      </c>
      <c r="O26" s="37" t="str">
        <f>IFERROR(((Table210[[#This Row],[Operator]]*$O$3)+(Table210[[#This Row],[Truck]]*$O$4)+(((Table210[[#This Row],[Contractor]]+Table210[[#This Row],[Equipment]]+Table210[[#This Row],[Parts &amp; Materials]])*Table210[[#This Row],[Quantity2]])*Table210[[#This Row],[Frequency Data]]))+Table210[[#This Row],[Annual Energy Cost]]," ")</f>
        <v xml:space="preserve"> </v>
      </c>
    </row>
    <row r="27" spans="2:15" x14ac:dyDescent="0.25">
      <c r="B27" s="205"/>
      <c r="C27" s="219" t="str">
        <f>IFERROR(VLOOKUP(Table210[[#This Row],[Task Code]],WO_Data_Masterlist[],2,FALSE)," ")</f>
        <v xml:space="preserve"> </v>
      </c>
      <c r="D27" s="219" t="str">
        <f>IFERROR(VLOOKUP(Table210[[#This Row],[Task Code]],WO_Data_Masterlist[],4,FALSE)," ")</f>
        <v xml:space="preserve"> </v>
      </c>
      <c r="E27" s="28" t="str">
        <f>IFERROR(VLOOKUP(Table210[[#This Row],[Task Code]],WO_Data_Masterlist[],5,FALSE)," ")</f>
        <v xml:space="preserve"> </v>
      </c>
      <c r="F27" s="28" t="str">
        <f>IFERROR(VLOOKUP(Table210[[#This Row],[Task Code]],WO_Data_Masterlist[],6,FALSE)," ")</f>
        <v xml:space="preserve"> </v>
      </c>
      <c r="G27" s="28" t="e">
        <f>VLOOKUP(Table210[[#This Row],[Task Code]],WO_Data_Masterlist[],7,FALSE)</f>
        <v>#N/A</v>
      </c>
      <c r="H27" s="28" t="e">
        <f>IF(VLOOKUP(Table210[[#This Row],[Task Code]],WO_Data_Masterlist[],15,FALSE)="N/A",1,VLOOKUP(Table210[[#This Row],[Task Code]],WO_Data_Masterlist[],15,FALSE))</f>
        <v>#N/A</v>
      </c>
      <c r="I27" s="40" t="str">
        <f>IFERROR(VLOOKUP(Table210[[#This Row],[Task Code]],WO_Data_Masterlist[],9,FALSE)*Table210[[#This Row],[Frequency Data]]*Table210[[#This Row],[Quantity2]]," ")</f>
        <v xml:space="preserve"> </v>
      </c>
      <c r="J27" s="40" t="str">
        <f>IFERROR(VLOOKUP(Table210[[#This Row],[Task Code]],WO_Data_Masterlist[],10,FALSE)*Table210[[#This Row],[Frequency Data]]*Table210[[#This Row],[Quantity2]]," ")</f>
        <v xml:space="preserve"> </v>
      </c>
      <c r="K27" s="42" t="str">
        <f>IFERROR(VLOOKUP(Table210[[#This Row],[Task Code]],WO_Data_Masterlist[],11,FALSE)," ")</f>
        <v xml:space="preserve"> </v>
      </c>
      <c r="L27" s="9" t="str">
        <f>IFERROR(VLOOKUP(Table210[[#This Row],[Task Code]],WO_Data_Masterlist[],12,FALSE)," ")</f>
        <v xml:space="preserve"> </v>
      </c>
      <c r="M27" s="9" t="str">
        <f>IFERROR(VLOOKUP(Table210[[#This Row],[Task Code]],WO_Data_Masterlist[],13,FALSE)," ")</f>
        <v xml:space="preserve"> </v>
      </c>
      <c r="N27" s="42" t="str">
        <f>IFERROR(VLOOKUP(Table210[[#This Row],[Task Code]],WO_Data_Masterlist[],17,FALSE)," ")</f>
        <v xml:space="preserve"> </v>
      </c>
      <c r="O27" s="37" t="str">
        <f>IFERROR(((Table210[[#This Row],[Operator]]*$O$3)+(Table210[[#This Row],[Truck]]*$O$4)+(((Table210[[#This Row],[Contractor]]+Table210[[#This Row],[Equipment]]+Table210[[#This Row],[Parts &amp; Materials]])*Table210[[#This Row],[Quantity2]])*Table210[[#This Row],[Frequency Data]]))+Table210[[#This Row],[Annual Energy Cost]]," ")</f>
        <v xml:space="preserve"> </v>
      </c>
    </row>
    <row r="28" spans="2:15" x14ac:dyDescent="0.25">
      <c r="B28" s="205"/>
      <c r="C28" s="219" t="str">
        <f>IFERROR(VLOOKUP(Table210[[#This Row],[Task Code]],WO_Data_Masterlist[],2,FALSE)," ")</f>
        <v xml:space="preserve"> </v>
      </c>
      <c r="D28" s="219" t="str">
        <f>IFERROR(VLOOKUP(Table210[[#This Row],[Task Code]],WO_Data_Masterlist[],4,FALSE)," ")</f>
        <v xml:space="preserve"> </v>
      </c>
      <c r="E28" s="28" t="str">
        <f>IFERROR(VLOOKUP(Table210[[#This Row],[Task Code]],WO_Data_Masterlist[],5,FALSE)," ")</f>
        <v xml:space="preserve"> </v>
      </c>
      <c r="F28" s="28" t="str">
        <f>IFERROR(VLOOKUP(Table210[[#This Row],[Task Code]],WO_Data_Masterlist[],6,FALSE)," ")</f>
        <v xml:space="preserve"> </v>
      </c>
      <c r="G28" s="28" t="e">
        <f>VLOOKUP(Table210[[#This Row],[Task Code]],WO_Data_Masterlist[],7,FALSE)</f>
        <v>#N/A</v>
      </c>
      <c r="H28" s="28" t="e">
        <f>IF(VLOOKUP(Table210[[#This Row],[Task Code]],WO_Data_Masterlist[],15,FALSE)="N/A",1,VLOOKUP(Table210[[#This Row],[Task Code]],WO_Data_Masterlist[],15,FALSE))</f>
        <v>#N/A</v>
      </c>
      <c r="I28" s="40" t="str">
        <f>IFERROR(VLOOKUP(Table210[[#This Row],[Task Code]],WO_Data_Masterlist[],9,FALSE)*Table210[[#This Row],[Frequency Data]]*Table210[[#This Row],[Quantity2]]," ")</f>
        <v xml:space="preserve"> </v>
      </c>
      <c r="J28" s="40" t="str">
        <f>IFERROR(VLOOKUP(Table210[[#This Row],[Task Code]],WO_Data_Masterlist[],10,FALSE)*Table210[[#This Row],[Frequency Data]]*Table210[[#This Row],[Quantity2]]," ")</f>
        <v xml:space="preserve"> </v>
      </c>
      <c r="K28" s="42" t="str">
        <f>IFERROR(VLOOKUP(Table210[[#This Row],[Task Code]],WO_Data_Masterlist[],11,FALSE)," ")</f>
        <v xml:space="preserve"> </v>
      </c>
      <c r="L28" s="9" t="str">
        <f>IFERROR(VLOOKUP(Table210[[#This Row],[Task Code]],WO_Data_Masterlist[],12,FALSE)," ")</f>
        <v xml:space="preserve"> </v>
      </c>
      <c r="M28" s="9" t="str">
        <f>IFERROR(VLOOKUP(Table210[[#This Row],[Task Code]],WO_Data_Masterlist[],13,FALSE)," ")</f>
        <v xml:space="preserve"> </v>
      </c>
      <c r="N28" s="42" t="str">
        <f>IFERROR(VLOOKUP(Table210[[#This Row],[Task Code]],WO_Data_Masterlist[],17,FALSE)," ")</f>
        <v xml:space="preserve"> </v>
      </c>
      <c r="O28" s="37" t="str">
        <f>IFERROR(((Table210[[#This Row],[Operator]]*$O$3)+(Table210[[#This Row],[Truck]]*$O$4)+(((Table210[[#This Row],[Contractor]]+Table210[[#This Row],[Equipment]]+Table210[[#This Row],[Parts &amp; Materials]])*Table210[[#This Row],[Quantity2]])*Table210[[#This Row],[Frequency Data]]))+Table210[[#This Row],[Annual Energy Cost]]," ")</f>
        <v xml:space="preserve"> </v>
      </c>
    </row>
    <row r="29" spans="2:15" x14ac:dyDescent="0.25">
      <c r="B29" s="205"/>
      <c r="C29" s="219" t="str">
        <f>IFERROR(VLOOKUP(Table210[[#This Row],[Task Code]],WO_Data_Masterlist[],2,FALSE)," ")</f>
        <v xml:space="preserve"> </v>
      </c>
      <c r="D29" s="219" t="str">
        <f>IFERROR(VLOOKUP(Table210[[#This Row],[Task Code]],WO_Data_Masterlist[],4,FALSE)," ")</f>
        <v xml:space="preserve"> </v>
      </c>
      <c r="E29" s="28" t="str">
        <f>IFERROR(VLOOKUP(Table210[[#This Row],[Task Code]],WO_Data_Masterlist[],5,FALSE)," ")</f>
        <v xml:space="preserve"> </v>
      </c>
      <c r="F29" s="28" t="str">
        <f>IFERROR(VLOOKUP(Table210[[#This Row],[Task Code]],WO_Data_Masterlist[],6,FALSE)," ")</f>
        <v xml:space="preserve"> </v>
      </c>
      <c r="G29" s="28" t="e">
        <f>VLOOKUP(Table210[[#This Row],[Task Code]],WO_Data_Masterlist[],7,FALSE)</f>
        <v>#N/A</v>
      </c>
      <c r="H29" s="28" t="e">
        <f>IF(VLOOKUP(Table210[[#This Row],[Task Code]],WO_Data_Masterlist[],15,FALSE)="N/A",1,VLOOKUP(Table210[[#This Row],[Task Code]],WO_Data_Masterlist[],15,FALSE))</f>
        <v>#N/A</v>
      </c>
      <c r="I29" s="40" t="str">
        <f>IFERROR(VLOOKUP(Table210[[#This Row],[Task Code]],WO_Data_Masterlist[],9,FALSE)*Table210[[#This Row],[Frequency Data]]*Table210[[#This Row],[Quantity2]]," ")</f>
        <v xml:space="preserve"> </v>
      </c>
      <c r="J29" s="40" t="str">
        <f>IFERROR(VLOOKUP(Table210[[#This Row],[Task Code]],WO_Data_Masterlist[],10,FALSE)*Table210[[#This Row],[Frequency Data]]*Table210[[#This Row],[Quantity2]]," ")</f>
        <v xml:space="preserve"> </v>
      </c>
      <c r="K29" s="42" t="str">
        <f>IFERROR(VLOOKUP(Table210[[#This Row],[Task Code]],WO_Data_Masterlist[],11,FALSE)," ")</f>
        <v xml:space="preserve"> </v>
      </c>
      <c r="L29" s="9" t="str">
        <f>IFERROR(VLOOKUP(Table210[[#This Row],[Task Code]],WO_Data_Masterlist[],12,FALSE)," ")</f>
        <v xml:space="preserve"> </v>
      </c>
      <c r="M29" s="9" t="str">
        <f>IFERROR(VLOOKUP(Table210[[#This Row],[Task Code]],WO_Data_Masterlist[],13,FALSE)," ")</f>
        <v xml:space="preserve"> </v>
      </c>
      <c r="N29" s="42" t="str">
        <f>IFERROR(VLOOKUP(Table210[[#This Row],[Task Code]],WO_Data_Masterlist[],17,FALSE)," ")</f>
        <v xml:space="preserve"> </v>
      </c>
      <c r="O29" s="37" t="str">
        <f>IFERROR(((Table210[[#This Row],[Operator]]*$O$3)+(Table210[[#This Row],[Truck]]*$O$4)+(((Table210[[#This Row],[Contractor]]+Table210[[#This Row],[Equipment]]+Table210[[#This Row],[Parts &amp; Materials]])*Table210[[#This Row],[Quantity2]])*Table210[[#This Row],[Frequency Data]]))+Table210[[#This Row],[Annual Energy Cost]]," ")</f>
        <v xml:space="preserve"> </v>
      </c>
    </row>
    <row r="30" spans="2:15" x14ac:dyDescent="0.25">
      <c r="B30" s="205"/>
      <c r="C30" s="219" t="str">
        <f>IFERROR(VLOOKUP(Table210[[#This Row],[Task Code]],WO_Data_Masterlist[],2,FALSE)," ")</f>
        <v xml:space="preserve"> </v>
      </c>
      <c r="D30" s="219" t="str">
        <f>IFERROR(VLOOKUP(Table210[[#This Row],[Task Code]],WO_Data_Masterlist[],4,FALSE)," ")</f>
        <v xml:space="preserve"> </v>
      </c>
      <c r="E30" s="28" t="str">
        <f>IFERROR(VLOOKUP(Table210[[#This Row],[Task Code]],WO_Data_Masterlist[],5,FALSE)," ")</f>
        <v xml:space="preserve"> </v>
      </c>
      <c r="F30" s="28" t="str">
        <f>IFERROR(VLOOKUP(Table210[[#This Row],[Task Code]],WO_Data_Masterlist[],6,FALSE)," ")</f>
        <v xml:space="preserve"> </v>
      </c>
      <c r="G30" s="28" t="e">
        <f>VLOOKUP(Table210[[#This Row],[Task Code]],WO_Data_Masterlist[],7,FALSE)</f>
        <v>#N/A</v>
      </c>
      <c r="H30" s="28" t="e">
        <f>IF(VLOOKUP(Table210[[#This Row],[Task Code]],WO_Data_Masterlist[],15,FALSE)="N/A",1,VLOOKUP(Table210[[#This Row],[Task Code]],WO_Data_Masterlist[],15,FALSE))</f>
        <v>#N/A</v>
      </c>
      <c r="I30" s="40" t="str">
        <f>IFERROR(VLOOKUP(Table210[[#This Row],[Task Code]],WO_Data_Masterlist[],9,FALSE)*Table210[[#This Row],[Frequency Data]]*Table210[[#This Row],[Quantity2]]," ")</f>
        <v xml:space="preserve"> </v>
      </c>
      <c r="J30" s="40" t="str">
        <f>IFERROR(VLOOKUP(Table210[[#This Row],[Task Code]],WO_Data_Masterlist[],10,FALSE)*Table210[[#This Row],[Frequency Data]]*Table210[[#This Row],[Quantity2]]," ")</f>
        <v xml:space="preserve"> </v>
      </c>
      <c r="K30" s="42" t="str">
        <f>IFERROR(VLOOKUP(Table210[[#This Row],[Task Code]],WO_Data_Masterlist[],11,FALSE)," ")</f>
        <v xml:space="preserve"> </v>
      </c>
      <c r="L30" s="9" t="str">
        <f>IFERROR(VLOOKUP(Table210[[#This Row],[Task Code]],WO_Data_Masterlist[],12,FALSE)," ")</f>
        <v xml:space="preserve"> </v>
      </c>
      <c r="M30" s="9" t="str">
        <f>IFERROR(VLOOKUP(Table210[[#This Row],[Task Code]],WO_Data_Masterlist[],13,FALSE)," ")</f>
        <v xml:space="preserve"> </v>
      </c>
      <c r="N30" s="42" t="str">
        <f>IFERROR(VLOOKUP(Table210[[#This Row],[Task Code]],WO_Data_Masterlist[],17,FALSE)," ")</f>
        <v xml:space="preserve"> </v>
      </c>
      <c r="O30" s="37" t="str">
        <f>IFERROR(((Table210[[#This Row],[Operator]]*$O$3)+(Table210[[#This Row],[Truck]]*$O$4)+(((Table210[[#This Row],[Contractor]]+Table210[[#This Row],[Equipment]]+Table210[[#This Row],[Parts &amp; Materials]])*Table210[[#This Row],[Quantity2]])*Table210[[#This Row],[Frequency Data]]))+Table210[[#This Row],[Annual Energy Cost]]," ")</f>
        <v xml:space="preserve"> </v>
      </c>
    </row>
    <row r="31" spans="2:15" x14ac:dyDescent="0.25">
      <c r="B31" s="205"/>
      <c r="C31" s="219" t="str">
        <f>IFERROR(VLOOKUP(Table210[[#This Row],[Task Code]],WO_Data_Masterlist[],2,FALSE)," ")</f>
        <v xml:space="preserve"> </v>
      </c>
      <c r="D31" s="219" t="str">
        <f>IFERROR(VLOOKUP(Table210[[#This Row],[Task Code]],WO_Data_Masterlist[],4,FALSE)," ")</f>
        <v xml:space="preserve"> </v>
      </c>
      <c r="E31" s="28" t="str">
        <f>IFERROR(VLOOKUP(Table210[[#This Row],[Task Code]],WO_Data_Masterlist[],5,FALSE)," ")</f>
        <v xml:space="preserve"> </v>
      </c>
      <c r="F31" s="28" t="str">
        <f>IFERROR(VLOOKUP(Table210[[#This Row],[Task Code]],WO_Data_Masterlist[],6,FALSE)," ")</f>
        <v xml:space="preserve"> </v>
      </c>
      <c r="G31" s="28" t="e">
        <f>VLOOKUP(Table210[[#This Row],[Task Code]],WO_Data_Masterlist[],7,FALSE)</f>
        <v>#N/A</v>
      </c>
      <c r="H31" s="28" t="e">
        <f>IF(VLOOKUP(Table210[[#This Row],[Task Code]],WO_Data_Masterlist[],15,FALSE)="N/A",1,VLOOKUP(Table210[[#This Row],[Task Code]],WO_Data_Masterlist[],15,FALSE))</f>
        <v>#N/A</v>
      </c>
      <c r="I31" s="40" t="str">
        <f>IFERROR(VLOOKUP(Table210[[#This Row],[Task Code]],WO_Data_Masterlist[],9,FALSE)*Table210[[#This Row],[Frequency Data]]*Table210[[#This Row],[Quantity2]]," ")</f>
        <v xml:space="preserve"> </v>
      </c>
      <c r="J31" s="40" t="str">
        <f>IFERROR(VLOOKUP(Table210[[#This Row],[Task Code]],WO_Data_Masterlist[],10,FALSE)*Table210[[#This Row],[Frequency Data]]*Table210[[#This Row],[Quantity2]]," ")</f>
        <v xml:space="preserve"> </v>
      </c>
      <c r="K31" s="42" t="str">
        <f>IFERROR(VLOOKUP(Table210[[#This Row],[Task Code]],WO_Data_Masterlist[],11,FALSE)," ")</f>
        <v xml:space="preserve"> </v>
      </c>
      <c r="L31" s="9" t="str">
        <f>IFERROR(VLOOKUP(Table210[[#This Row],[Task Code]],WO_Data_Masterlist[],12,FALSE)," ")</f>
        <v xml:space="preserve"> </v>
      </c>
      <c r="M31" s="9" t="str">
        <f>IFERROR(VLOOKUP(Table210[[#This Row],[Task Code]],WO_Data_Masterlist[],13,FALSE)," ")</f>
        <v xml:space="preserve"> </v>
      </c>
      <c r="N31" s="42" t="str">
        <f>IFERROR(VLOOKUP(Table210[[#This Row],[Task Code]],WO_Data_Masterlist[],17,FALSE)," ")</f>
        <v xml:space="preserve"> </v>
      </c>
      <c r="O31" s="37" t="str">
        <f>IFERROR(((Table210[[#This Row],[Operator]]*$O$3)+(Table210[[#This Row],[Truck]]*$O$4)+(((Table210[[#This Row],[Contractor]]+Table210[[#This Row],[Equipment]]+Table210[[#This Row],[Parts &amp; Materials]])*Table210[[#This Row],[Quantity2]])*Table210[[#This Row],[Frequency Data]]))+Table210[[#This Row],[Annual Energy Cost]]," ")</f>
        <v xml:space="preserve"> </v>
      </c>
    </row>
    <row r="32" spans="2:15" x14ac:dyDescent="0.25">
      <c r="B32" s="205"/>
      <c r="C32" s="214" t="str">
        <f>IFERROR(VLOOKUP(Table210[[#This Row],[Task Code]],WO_Data_Masterlist[],2,FALSE)," ")</f>
        <v xml:space="preserve"> </v>
      </c>
      <c r="D32" s="214" t="str">
        <f>IFERROR(VLOOKUP(Table210[[#This Row],[Task Code]],WO_Data_Masterlist[],4,FALSE)," ")</f>
        <v xml:space="preserve"> </v>
      </c>
      <c r="E32" s="28" t="str">
        <f>IFERROR(VLOOKUP(Table210[[#This Row],[Task Code]],WO_Data_Masterlist[],5,FALSE)," ")</f>
        <v xml:space="preserve"> </v>
      </c>
      <c r="F32" s="28" t="str">
        <f>IFERROR(VLOOKUP(Table210[[#This Row],[Task Code]],WO_Data_Masterlist[],6,FALSE)," ")</f>
        <v xml:space="preserve"> </v>
      </c>
      <c r="G32" s="28" t="e">
        <f>VLOOKUP(Table210[[#This Row],[Task Code]],WO_Data_Masterlist[],7,FALSE)</f>
        <v>#N/A</v>
      </c>
      <c r="H32" s="28" t="e">
        <f>IF(VLOOKUP(Table210[[#This Row],[Task Code]],WO_Data_Masterlist[],15,FALSE)="N/A",1,VLOOKUP(Table210[[#This Row],[Task Code]],WO_Data_Masterlist[],15,FALSE))</f>
        <v>#N/A</v>
      </c>
      <c r="I32" s="40" t="str">
        <f>IFERROR(VLOOKUP(Table210[[#This Row],[Task Code]],WO_Data_Masterlist[],9,FALSE)*Table210[[#This Row],[Frequency Data]]*Table210[[#This Row],[Quantity2]]," ")</f>
        <v xml:space="preserve"> </v>
      </c>
      <c r="J32" s="40" t="str">
        <f>IFERROR(VLOOKUP(Table210[[#This Row],[Task Code]],WO_Data_Masterlist[],10,FALSE)*Table210[[#This Row],[Frequency Data]]*Table210[[#This Row],[Quantity2]]," ")</f>
        <v xml:space="preserve"> </v>
      </c>
      <c r="K32" s="42" t="str">
        <f>IFERROR(VLOOKUP(Table210[[#This Row],[Task Code]],WO_Data_Masterlist[],11,FALSE)," ")</f>
        <v xml:space="preserve"> </v>
      </c>
      <c r="L32" s="9" t="str">
        <f>IFERROR(VLOOKUP(Table210[[#This Row],[Task Code]],WO_Data_Masterlist[],12,FALSE)," ")</f>
        <v xml:space="preserve"> </v>
      </c>
      <c r="M32" s="9" t="str">
        <f>IFERROR(VLOOKUP(Table210[[#This Row],[Task Code]],WO_Data_Masterlist[],13,FALSE)," ")</f>
        <v xml:space="preserve"> </v>
      </c>
      <c r="N32" s="9" t="str">
        <f>IFERROR(VLOOKUP(Table210[[#This Row],[Task Code]],WO_Data_Masterlist[],17,FALSE)," ")</f>
        <v xml:space="preserve"> </v>
      </c>
      <c r="O32" s="37" t="str">
        <f>IFERROR(((Table210[[#This Row],[Operator]]*$O$3)+(Table210[[#This Row],[Truck]]*$O$4)+(((Table210[[#This Row],[Contractor]]+Table210[[#This Row],[Equipment]]+Table210[[#This Row],[Parts &amp; Materials]])*Table210[[#This Row],[Quantity2]])*Table210[[#This Row],[Frequency Data]]))+Table210[[#This Row],[Annual Energy Cost]]," ")</f>
        <v xml:space="preserve"> </v>
      </c>
    </row>
    <row r="33" spans="2:15" x14ac:dyDescent="0.25">
      <c r="B33" s="205"/>
      <c r="C33" s="214" t="str">
        <f>IFERROR(VLOOKUP(Table210[[#This Row],[Task Code]],WO_Data_Masterlist[],2,FALSE)," ")</f>
        <v xml:space="preserve"> </v>
      </c>
      <c r="D33" s="214" t="str">
        <f>IFERROR(VLOOKUP(Table210[[#This Row],[Task Code]],WO_Data_Masterlist[],4,FALSE)," ")</f>
        <v xml:space="preserve"> </v>
      </c>
      <c r="E33" s="28" t="str">
        <f>IFERROR(VLOOKUP(Table210[[#This Row],[Task Code]],WO_Data_Masterlist[],5,FALSE)," ")</f>
        <v xml:space="preserve"> </v>
      </c>
      <c r="F33" s="28" t="str">
        <f>IFERROR(VLOOKUP(Table210[[#This Row],[Task Code]],WO_Data_Masterlist[],6,FALSE)," ")</f>
        <v xml:space="preserve"> </v>
      </c>
      <c r="G33" s="28" t="e">
        <f>VLOOKUP(Table210[[#This Row],[Task Code]],WO_Data_Masterlist[],7,FALSE)</f>
        <v>#N/A</v>
      </c>
      <c r="H33" s="28" t="e">
        <f>IF(VLOOKUP(Table210[[#This Row],[Task Code]],WO_Data_Masterlist[],15,FALSE)="N/A",1,VLOOKUP(Table210[[#This Row],[Task Code]],WO_Data_Masterlist[],15,FALSE))</f>
        <v>#N/A</v>
      </c>
      <c r="I33" s="40" t="str">
        <f>IFERROR(VLOOKUP(Table210[[#This Row],[Task Code]],WO_Data_Masterlist[],9,FALSE)*Table210[[#This Row],[Frequency Data]]*Table210[[#This Row],[Quantity2]]," ")</f>
        <v xml:space="preserve"> </v>
      </c>
      <c r="J33" s="40" t="str">
        <f>IFERROR(VLOOKUP(Table210[[#This Row],[Task Code]],WO_Data_Masterlist[],10,FALSE)*Table210[[#This Row],[Frequency Data]]*Table210[[#This Row],[Quantity2]]," ")</f>
        <v xml:space="preserve"> </v>
      </c>
      <c r="K33" s="42" t="str">
        <f>IFERROR(VLOOKUP(Table210[[#This Row],[Task Code]],WO_Data_Masterlist[],11,FALSE)," ")</f>
        <v xml:space="preserve"> </v>
      </c>
      <c r="L33" s="9" t="str">
        <f>IFERROR(VLOOKUP(Table210[[#This Row],[Task Code]],WO_Data_Masterlist[],12,FALSE)," ")</f>
        <v xml:space="preserve"> </v>
      </c>
      <c r="M33" s="9" t="str">
        <f>IFERROR(VLOOKUP(Table210[[#This Row],[Task Code]],WO_Data_Masterlist[],13,FALSE)," ")</f>
        <v xml:space="preserve"> </v>
      </c>
      <c r="N33" s="9" t="str">
        <f>IFERROR(VLOOKUP(Table210[[#This Row],[Task Code]],WO_Data_Masterlist[],17,FALSE)," ")</f>
        <v xml:space="preserve"> </v>
      </c>
      <c r="O33" s="37" t="str">
        <f>IFERROR(((Table210[[#This Row],[Operator]]*$O$3)+(Table210[[#This Row],[Truck]]*$O$4)+(((Table210[[#This Row],[Contractor]]+Table210[[#This Row],[Equipment]]+Table210[[#This Row],[Parts &amp; Materials]])*Table210[[#This Row],[Quantity2]])*Table210[[#This Row],[Frequency Data]]))+Table210[[#This Row],[Annual Energy Cost]]," ")</f>
        <v xml:space="preserve"> </v>
      </c>
    </row>
    <row r="34" spans="2:15" x14ac:dyDescent="0.25">
      <c r="B34" s="205"/>
      <c r="C34" s="214" t="str">
        <f>IFERROR(VLOOKUP(Table210[[#This Row],[Task Code]],WO_Data_Masterlist[],2,FALSE)," ")</f>
        <v xml:space="preserve"> </v>
      </c>
      <c r="D34" s="214" t="str">
        <f>IFERROR(VLOOKUP(Table210[[#This Row],[Task Code]],WO_Data_Masterlist[],4,FALSE)," ")</f>
        <v xml:space="preserve"> </v>
      </c>
      <c r="E34" s="28" t="str">
        <f>IFERROR(VLOOKUP(Table210[[#This Row],[Task Code]],WO_Data_Masterlist[],5,FALSE)," ")</f>
        <v xml:space="preserve"> </v>
      </c>
      <c r="F34" s="28" t="str">
        <f>IFERROR(VLOOKUP(Table210[[#This Row],[Task Code]],WO_Data_Masterlist[],6,FALSE)," ")</f>
        <v xml:space="preserve"> </v>
      </c>
      <c r="G34" s="28" t="e">
        <f>VLOOKUP(Table210[[#This Row],[Task Code]],WO_Data_Masterlist[],7,FALSE)</f>
        <v>#N/A</v>
      </c>
      <c r="H34" s="28" t="e">
        <f>IF(VLOOKUP(Table210[[#This Row],[Task Code]],WO_Data_Masterlist[],15,FALSE)="N/A",1,VLOOKUP(Table210[[#This Row],[Task Code]],WO_Data_Masterlist[],15,FALSE))</f>
        <v>#N/A</v>
      </c>
      <c r="I34" s="40" t="str">
        <f>IFERROR(VLOOKUP(Table210[[#This Row],[Task Code]],WO_Data_Masterlist[],9,FALSE)*Table210[[#This Row],[Frequency Data]]*Table210[[#This Row],[Quantity2]]," ")</f>
        <v xml:space="preserve"> </v>
      </c>
      <c r="J34" s="40" t="str">
        <f>IFERROR(VLOOKUP(Table210[[#This Row],[Task Code]],WO_Data_Masterlist[],10,FALSE)*Table210[[#This Row],[Frequency Data]]*Table210[[#This Row],[Quantity2]]," ")</f>
        <v xml:space="preserve"> </v>
      </c>
      <c r="K34" s="42" t="str">
        <f>IFERROR(VLOOKUP(Table210[[#This Row],[Task Code]],WO_Data_Masterlist[],11,FALSE)," ")</f>
        <v xml:space="preserve"> </v>
      </c>
      <c r="L34" s="9" t="str">
        <f>IFERROR(VLOOKUP(Table210[[#This Row],[Task Code]],WO_Data_Masterlist[],12,FALSE)," ")</f>
        <v xml:space="preserve"> </v>
      </c>
      <c r="M34" s="9" t="str">
        <f>IFERROR(VLOOKUP(Table210[[#This Row],[Task Code]],WO_Data_Masterlist[],13,FALSE)," ")</f>
        <v xml:space="preserve"> </v>
      </c>
      <c r="N34" s="9" t="str">
        <f>IFERROR(VLOOKUP(Table210[[#This Row],[Task Code]],WO_Data_Masterlist[],17,FALSE)," ")</f>
        <v xml:space="preserve"> </v>
      </c>
      <c r="O34" s="37" t="str">
        <f>IFERROR(((Table210[[#This Row],[Operator]]*$O$3)+(Table210[[#This Row],[Truck]]*$O$4)+(((Table210[[#This Row],[Contractor]]+Table210[[#This Row],[Equipment]]+Table210[[#This Row],[Parts &amp; Materials]])*Table210[[#This Row],[Quantity2]])*Table210[[#This Row],[Frequency Data]]))+Table210[[#This Row],[Annual Energy Cost]]," ")</f>
        <v xml:space="preserve"> </v>
      </c>
    </row>
    <row r="35" spans="2:15" x14ac:dyDescent="0.25">
      <c r="B35" s="205"/>
      <c r="C35" s="214" t="str">
        <f>IFERROR(VLOOKUP(Table210[[#This Row],[Task Code]],WO_Data_Masterlist[],2,FALSE)," ")</f>
        <v xml:space="preserve"> </v>
      </c>
      <c r="D35" s="214" t="str">
        <f>IFERROR(VLOOKUP(Table210[[#This Row],[Task Code]],WO_Data_Masterlist[],4,FALSE)," ")</f>
        <v xml:space="preserve"> </v>
      </c>
      <c r="E35" s="28" t="str">
        <f>IFERROR(VLOOKUP(Table210[[#This Row],[Task Code]],WO_Data_Masterlist[],5,FALSE)," ")</f>
        <v xml:space="preserve"> </v>
      </c>
      <c r="F35" s="28" t="str">
        <f>IFERROR(VLOOKUP(Table210[[#This Row],[Task Code]],WO_Data_Masterlist[],6,FALSE)," ")</f>
        <v xml:space="preserve"> </v>
      </c>
      <c r="G35" s="28" t="e">
        <f>VLOOKUP(Table210[[#This Row],[Task Code]],WO_Data_Masterlist[],7,FALSE)</f>
        <v>#N/A</v>
      </c>
      <c r="H35" s="28" t="e">
        <f>IF(VLOOKUP(Table210[[#This Row],[Task Code]],WO_Data_Masterlist[],15,FALSE)="N/A",1,VLOOKUP(Table210[[#This Row],[Task Code]],WO_Data_Masterlist[],15,FALSE))</f>
        <v>#N/A</v>
      </c>
      <c r="I35" s="40" t="str">
        <f>IFERROR(VLOOKUP(Table210[[#This Row],[Task Code]],WO_Data_Masterlist[],9,FALSE)*Table210[[#This Row],[Frequency Data]]*Table210[[#This Row],[Quantity2]]," ")</f>
        <v xml:space="preserve"> </v>
      </c>
      <c r="J35" s="40" t="str">
        <f>IFERROR(VLOOKUP(Table210[[#This Row],[Task Code]],WO_Data_Masterlist[],10,FALSE)*Table210[[#This Row],[Frequency Data]]*Table210[[#This Row],[Quantity2]]," ")</f>
        <v xml:space="preserve"> </v>
      </c>
      <c r="K35" s="42" t="str">
        <f>IFERROR(VLOOKUP(Table210[[#This Row],[Task Code]],WO_Data_Masterlist[],11,FALSE)," ")</f>
        <v xml:space="preserve"> </v>
      </c>
      <c r="L35" s="9" t="str">
        <f>IFERROR(VLOOKUP(Table210[[#This Row],[Task Code]],WO_Data_Masterlist[],12,FALSE)," ")</f>
        <v xml:space="preserve"> </v>
      </c>
      <c r="M35" s="9" t="str">
        <f>IFERROR(VLOOKUP(Table210[[#This Row],[Task Code]],WO_Data_Masterlist[],13,FALSE)," ")</f>
        <v xml:space="preserve"> </v>
      </c>
      <c r="N35" s="9" t="str">
        <f>IFERROR(VLOOKUP(Table210[[#This Row],[Task Code]],WO_Data_Masterlist[],17,FALSE)," ")</f>
        <v xml:space="preserve"> </v>
      </c>
      <c r="O35" s="37" t="str">
        <f>IFERROR(((Table210[[#This Row],[Operator]]*$O$3)+(Table210[[#This Row],[Truck]]*$O$4)+(((Table210[[#This Row],[Contractor]]+Table210[[#This Row],[Equipment]]+Table210[[#This Row],[Parts &amp; Materials]])*Table210[[#This Row],[Quantity2]])*Table210[[#This Row],[Frequency Data]]))+Table210[[#This Row],[Annual Energy Cost]]," ")</f>
        <v xml:space="preserve"> </v>
      </c>
    </row>
    <row r="36" spans="2:15" x14ac:dyDescent="0.25">
      <c r="B36" s="205"/>
      <c r="C36" s="214" t="str">
        <f>IFERROR(VLOOKUP(Table210[[#This Row],[Task Code]],WO_Data_Masterlist[],2,FALSE)," ")</f>
        <v xml:space="preserve"> </v>
      </c>
      <c r="D36" s="214" t="str">
        <f>IFERROR(VLOOKUP(Table210[[#This Row],[Task Code]],WO_Data_Masterlist[],4,FALSE)," ")</f>
        <v xml:space="preserve"> </v>
      </c>
      <c r="E36" s="28" t="str">
        <f>IFERROR(VLOOKUP(Table210[[#This Row],[Task Code]],WO_Data_Masterlist[],5,FALSE)," ")</f>
        <v xml:space="preserve"> </v>
      </c>
      <c r="F36" s="28" t="str">
        <f>IFERROR(VLOOKUP(Table210[[#This Row],[Task Code]],WO_Data_Masterlist[],6,FALSE)," ")</f>
        <v xml:space="preserve"> </v>
      </c>
      <c r="G36" s="28" t="e">
        <f>VLOOKUP(Table210[[#This Row],[Task Code]],WO_Data_Masterlist[],7,FALSE)</f>
        <v>#N/A</v>
      </c>
      <c r="H36" s="28" t="e">
        <f>IF(VLOOKUP(Table210[[#This Row],[Task Code]],WO_Data_Masterlist[],15,FALSE)="N/A",1,VLOOKUP(Table210[[#This Row],[Task Code]],WO_Data_Masterlist[],15,FALSE))</f>
        <v>#N/A</v>
      </c>
      <c r="I36" s="40" t="str">
        <f>IFERROR(VLOOKUP(Table210[[#This Row],[Task Code]],WO_Data_Masterlist[],9,FALSE)*Table210[[#This Row],[Frequency Data]]*Table210[[#This Row],[Quantity2]]," ")</f>
        <v xml:space="preserve"> </v>
      </c>
      <c r="J36" s="40" t="str">
        <f>IFERROR(VLOOKUP(Table210[[#This Row],[Task Code]],WO_Data_Masterlist[],10,FALSE)*Table210[[#This Row],[Frequency Data]]*Table210[[#This Row],[Quantity2]]," ")</f>
        <v xml:space="preserve"> </v>
      </c>
      <c r="K36" s="42" t="str">
        <f>IFERROR(VLOOKUP(Table210[[#This Row],[Task Code]],WO_Data_Masterlist[],11,FALSE)," ")</f>
        <v xml:space="preserve"> </v>
      </c>
      <c r="L36" s="9" t="str">
        <f>IFERROR(VLOOKUP(Table210[[#This Row],[Task Code]],WO_Data_Masterlist[],12,FALSE)," ")</f>
        <v xml:space="preserve"> </v>
      </c>
      <c r="M36" s="9" t="str">
        <f>IFERROR(VLOOKUP(Table210[[#This Row],[Task Code]],WO_Data_Masterlist[],13,FALSE)," ")</f>
        <v xml:space="preserve"> </v>
      </c>
      <c r="N36" s="9" t="str">
        <f>IFERROR(VLOOKUP(Table210[[#This Row],[Task Code]],WO_Data_Masterlist[],17,FALSE)," ")</f>
        <v xml:space="preserve"> </v>
      </c>
      <c r="O36" s="37" t="str">
        <f>IFERROR(((Table210[[#This Row],[Operator]]*$O$3)+(Table210[[#This Row],[Truck]]*$O$4)+(((Table210[[#This Row],[Contractor]]+Table210[[#This Row],[Equipment]]+Table210[[#This Row],[Parts &amp; Materials]])*Table210[[#This Row],[Quantity2]])*Table210[[#This Row],[Frequency Data]]))+Table210[[#This Row],[Annual Energy Cost]]," ")</f>
        <v xml:space="preserve"> </v>
      </c>
    </row>
    <row r="37" spans="2:15" x14ac:dyDescent="0.25">
      <c r="B37" s="205"/>
      <c r="C37" s="214" t="str">
        <f>IFERROR(VLOOKUP(Table210[[#This Row],[Task Code]],WO_Data_Masterlist[],2,FALSE)," ")</f>
        <v xml:space="preserve"> </v>
      </c>
      <c r="D37" s="214" t="str">
        <f>IFERROR(VLOOKUP(Table210[[#This Row],[Task Code]],WO_Data_Masterlist[],4,FALSE)," ")</f>
        <v xml:space="preserve"> </v>
      </c>
      <c r="E37" s="28" t="str">
        <f>IFERROR(VLOOKUP(Table210[[#This Row],[Task Code]],WO_Data_Masterlist[],5,FALSE)," ")</f>
        <v xml:space="preserve"> </v>
      </c>
      <c r="F37" s="28" t="str">
        <f>IFERROR(VLOOKUP(Table210[[#This Row],[Task Code]],WO_Data_Masterlist[],6,FALSE)," ")</f>
        <v xml:space="preserve"> </v>
      </c>
      <c r="G37" s="28" t="e">
        <f>VLOOKUP(Table210[[#This Row],[Task Code]],WO_Data_Masterlist[],7,FALSE)</f>
        <v>#N/A</v>
      </c>
      <c r="H37" s="28" t="e">
        <f>IF(VLOOKUP(Table210[[#This Row],[Task Code]],WO_Data_Masterlist[],15,FALSE)="N/A",1,VLOOKUP(Table210[[#This Row],[Task Code]],WO_Data_Masterlist[],15,FALSE))</f>
        <v>#N/A</v>
      </c>
      <c r="I37" s="40" t="str">
        <f>IFERROR(VLOOKUP(Table210[[#This Row],[Task Code]],WO_Data_Masterlist[],9,FALSE)*Table210[[#This Row],[Frequency Data]]*Table210[[#This Row],[Quantity2]]," ")</f>
        <v xml:space="preserve"> </v>
      </c>
      <c r="J37" s="40" t="str">
        <f>IFERROR(VLOOKUP(Table210[[#This Row],[Task Code]],WO_Data_Masterlist[],10,FALSE)*Table210[[#This Row],[Frequency Data]]*Table210[[#This Row],[Quantity2]]," ")</f>
        <v xml:space="preserve"> </v>
      </c>
      <c r="K37" s="42" t="str">
        <f>IFERROR(VLOOKUP(Table210[[#This Row],[Task Code]],WO_Data_Masterlist[],11,FALSE)," ")</f>
        <v xml:space="preserve"> </v>
      </c>
      <c r="L37" s="9" t="str">
        <f>IFERROR(VLOOKUP(Table210[[#This Row],[Task Code]],WO_Data_Masterlist[],12,FALSE)," ")</f>
        <v xml:space="preserve"> </v>
      </c>
      <c r="M37" s="9" t="str">
        <f>IFERROR(VLOOKUP(Table210[[#This Row],[Task Code]],WO_Data_Masterlist[],13,FALSE)," ")</f>
        <v xml:space="preserve"> </v>
      </c>
      <c r="N37" s="9" t="str">
        <f>IFERROR(VLOOKUP(Table210[[#This Row],[Task Code]],WO_Data_Masterlist[],17,FALSE)," ")</f>
        <v xml:space="preserve"> </v>
      </c>
      <c r="O37" s="37" t="str">
        <f>IFERROR(((Table210[[#This Row],[Operator]]*$O$3)+(Table210[[#This Row],[Truck]]*$O$4)+(((Table210[[#This Row],[Contractor]]+Table210[[#This Row],[Equipment]]+Table210[[#This Row],[Parts &amp; Materials]])*Table210[[#This Row],[Quantity2]])*Table210[[#This Row],[Frequency Data]]))+Table210[[#This Row],[Annual Energy Cost]]," ")</f>
        <v xml:space="preserve"> </v>
      </c>
    </row>
    <row r="38" spans="2:15" x14ac:dyDescent="0.25">
      <c r="B38" s="205"/>
      <c r="C38" s="214" t="str">
        <f>IFERROR(VLOOKUP(Table210[[#This Row],[Task Code]],WO_Data_Masterlist[],2,FALSE)," ")</f>
        <v xml:space="preserve"> </v>
      </c>
      <c r="D38" s="214" t="str">
        <f>IFERROR(VLOOKUP(Table210[[#This Row],[Task Code]],WO_Data_Masterlist[],4,FALSE)," ")</f>
        <v xml:space="preserve"> </v>
      </c>
      <c r="E38" s="28" t="str">
        <f>IFERROR(VLOOKUP(Table210[[#This Row],[Task Code]],WO_Data_Masterlist[],5,FALSE)," ")</f>
        <v xml:space="preserve"> </v>
      </c>
      <c r="F38" s="28" t="str">
        <f>IFERROR(VLOOKUP(Table210[[#This Row],[Task Code]],WO_Data_Masterlist[],6,FALSE)," ")</f>
        <v xml:space="preserve"> </v>
      </c>
      <c r="G38" s="28" t="e">
        <f>VLOOKUP(Table210[[#This Row],[Task Code]],WO_Data_Masterlist[],7,FALSE)</f>
        <v>#N/A</v>
      </c>
      <c r="H38" s="28" t="e">
        <f>IF(VLOOKUP(Table210[[#This Row],[Task Code]],WO_Data_Masterlist[],15,FALSE)="N/A",1,VLOOKUP(Table210[[#This Row],[Task Code]],WO_Data_Masterlist[],15,FALSE))</f>
        <v>#N/A</v>
      </c>
      <c r="I38" s="40" t="str">
        <f>IFERROR(VLOOKUP(Table210[[#This Row],[Task Code]],WO_Data_Masterlist[],9,FALSE)*Table210[[#This Row],[Frequency Data]]*Table210[[#This Row],[Quantity2]]," ")</f>
        <v xml:space="preserve"> </v>
      </c>
      <c r="J38" s="40" t="str">
        <f>IFERROR(VLOOKUP(Table210[[#This Row],[Task Code]],WO_Data_Masterlist[],10,FALSE)*Table210[[#This Row],[Frequency Data]]*Table210[[#This Row],[Quantity2]]," ")</f>
        <v xml:space="preserve"> </v>
      </c>
      <c r="K38" s="42" t="str">
        <f>IFERROR(VLOOKUP(Table210[[#This Row],[Task Code]],WO_Data_Masterlist[],11,FALSE)," ")</f>
        <v xml:space="preserve"> </v>
      </c>
      <c r="L38" s="9" t="str">
        <f>IFERROR(VLOOKUP(Table210[[#This Row],[Task Code]],WO_Data_Masterlist[],12,FALSE)," ")</f>
        <v xml:space="preserve"> </v>
      </c>
      <c r="M38" s="9" t="str">
        <f>IFERROR(VLOOKUP(Table210[[#This Row],[Task Code]],WO_Data_Masterlist[],13,FALSE)," ")</f>
        <v xml:space="preserve"> </v>
      </c>
      <c r="N38" s="9" t="str">
        <f>IFERROR(VLOOKUP(Table210[[#This Row],[Task Code]],WO_Data_Masterlist[],17,FALSE)," ")</f>
        <v xml:space="preserve"> </v>
      </c>
      <c r="O38" s="37" t="str">
        <f>IFERROR(((Table210[[#This Row],[Operator]]*$O$3)+(Table210[[#This Row],[Truck]]*$O$4)+(((Table210[[#This Row],[Contractor]]+Table210[[#This Row],[Equipment]]+Table210[[#This Row],[Parts &amp; Materials]])*Table210[[#This Row],[Quantity2]])*Table210[[#This Row],[Frequency Data]]))+Table210[[#This Row],[Annual Energy Cost]]," ")</f>
        <v xml:space="preserve"> </v>
      </c>
    </row>
    <row r="39" spans="2:15" x14ac:dyDescent="0.25">
      <c r="B39" s="205"/>
      <c r="C39" s="214" t="str">
        <f>IFERROR(VLOOKUP(Table210[[#This Row],[Task Code]],WO_Data_Masterlist[],2,FALSE)," ")</f>
        <v xml:space="preserve"> </v>
      </c>
      <c r="D39" s="214" t="str">
        <f>IFERROR(VLOOKUP(Table210[[#This Row],[Task Code]],WO_Data_Masterlist[],4,FALSE)," ")</f>
        <v xml:space="preserve"> </v>
      </c>
      <c r="E39" s="28" t="str">
        <f>IFERROR(VLOOKUP(Table210[[#This Row],[Task Code]],WO_Data_Masterlist[],5,FALSE)," ")</f>
        <v xml:space="preserve"> </v>
      </c>
      <c r="F39" s="28" t="str">
        <f>IFERROR(VLOOKUP(Table210[[#This Row],[Task Code]],WO_Data_Masterlist[],6,FALSE)," ")</f>
        <v xml:space="preserve"> </v>
      </c>
      <c r="G39" s="28" t="e">
        <f>VLOOKUP(Table210[[#This Row],[Task Code]],WO_Data_Masterlist[],7,FALSE)</f>
        <v>#N/A</v>
      </c>
      <c r="H39" s="28" t="e">
        <f>IF(VLOOKUP(Table210[[#This Row],[Task Code]],WO_Data_Masterlist[],15,FALSE)="N/A",1,VLOOKUP(Table210[[#This Row],[Task Code]],WO_Data_Masterlist[],15,FALSE))</f>
        <v>#N/A</v>
      </c>
      <c r="I39" s="40" t="str">
        <f>IFERROR(VLOOKUP(Table210[[#This Row],[Task Code]],WO_Data_Masterlist[],9,FALSE)*Table210[[#This Row],[Frequency Data]]*Table210[[#This Row],[Quantity2]]," ")</f>
        <v xml:space="preserve"> </v>
      </c>
      <c r="J39" s="40" t="str">
        <f>IFERROR(VLOOKUP(Table210[[#This Row],[Task Code]],WO_Data_Masterlist[],10,FALSE)*Table210[[#This Row],[Frequency Data]]*Table210[[#This Row],[Quantity2]]," ")</f>
        <v xml:space="preserve"> </v>
      </c>
      <c r="K39" s="42" t="str">
        <f>IFERROR(VLOOKUP(Table210[[#This Row],[Task Code]],WO_Data_Masterlist[],11,FALSE)," ")</f>
        <v xml:space="preserve"> </v>
      </c>
      <c r="L39" s="9" t="str">
        <f>IFERROR(VLOOKUP(Table210[[#This Row],[Task Code]],WO_Data_Masterlist[],12,FALSE)," ")</f>
        <v xml:space="preserve"> </v>
      </c>
      <c r="M39" s="9" t="str">
        <f>IFERROR(VLOOKUP(Table210[[#This Row],[Task Code]],WO_Data_Masterlist[],13,FALSE)," ")</f>
        <v xml:space="preserve"> </v>
      </c>
      <c r="N39" s="9" t="str">
        <f>IFERROR(VLOOKUP(Table210[[#This Row],[Task Code]],WO_Data_Masterlist[],17,FALSE)," ")</f>
        <v xml:space="preserve"> </v>
      </c>
      <c r="O39" s="37" t="str">
        <f>IFERROR(((Table210[[#This Row],[Operator]]*$O$3)+(Table210[[#This Row],[Truck]]*$O$4)+(((Table210[[#This Row],[Contractor]]+Table210[[#This Row],[Equipment]]+Table210[[#This Row],[Parts &amp; Materials]])*Table210[[#This Row],[Quantity2]])*Table210[[#This Row],[Frequency Data]]))+Table210[[#This Row],[Annual Energy Cost]]," ")</f>
        <v xml:space="preserve"> </v>
      </c>
    </row>
    <row r="40" spans="2:15" x14ac:dyDescent="0.25">
      <c r="B40" s="205"/>
      <c r="C40" s="214" t="str">
        <f>IFERROR(VLOOKUP(Table210[[#This Row],[Task Code]],WO_Data_Masterlist[],2,FALSE)," ")</f>
        <v xml:space="preserve"> </v>
      </c>
      <c r="D40" s="214" t="str">
        <f>IFERROR(VLOOKUP(Table210[[#This Row],[Task Code]],WO_Data_Masterlist[],4,FALSE)," ")</f>
        <v xml:space="preserve"> </v>
      </c>
      <c r="E40" s="28" t="str">
        <f>IFERROR(VLOOKUP(Table210[[#This Row],[Task Code]],WO_Data_Masterlist[],5,FALSE)," ")</f>
        <v xml:space="preserve"> </v>
      </c>
      <c r="F40" s="28" t="str">
        <f>IFERROR(VLOOKUP(Table210[[#This Row],[Task Code]],WO_Data_Masterlist[],6,FALSE)," ")</f>
        <v xml:space="preserve"> </v>
      </c>
      <c r="G40" s="28" t="e">
        <f>VLOOKUP(Table210[[#This Row],[Task Code]],WO_Data_Masterlist[],7,FALSE)</f>
        <v>#N/A</v>
      </c>
      <c r="H40" s="28" t="e">
        <f>IF(VLOOKUP(Table210[[#This Row],[Task Code]],WO_Data_Masterlist[],15,FALSE)="N/A",1,VLOOKUP(Table210[[#This Row],[Task Code]],WO_Data_Masterlist[],15,FALSE))</f>
        <v>#N/A</v>
      </c>
      <c r="I40" s="40" t="str">
        <f>IFERROR(VLOOKUP(Table210[[#This Row],[Task Code]],WO_Data_Masterlist[],9,FALSE)*Table210[[#This Row],[Frequency Data]]*Table210[[#This Row],[Quantity2]]," ")</f>
        <v xml:space="preserve"> </v>
      </c>
      <c r="J40" s="40" t="str">
        <f>IFERROR(VLOOKUP(Table210[[#This Row],[Task Code]],WO_Data_Masterlist[],10,FALSE)*Table210[[#This Row],[Frequency Data]]*Table210[[#This Row],[Quantity2]]," ")</f>
        <v xml:space="preserve"> </v>
      </c>
      <c r="K40" s="42" t="str">
        <f>IFERROR(VLOOKUP(Table210[[#This Row],[Task Code]],WO_Data_Masterlist[],11,FALSE)," ")</f>
        <v xml:space="preserve"> </v>
      </c>
      <c r="L40" s="9" t="str">
        <f>IFERROR(VLOOKUP(Table210[[#This Row],[Task Code]],WO_Data_Masterlist[],12,FALSE)," ")</f>
        <v xml:space="preserve"> </v>
      </c>
      <c r="M40" s="9" t="str">
        <f>IFERROR(VLOOKUP(Table210[[#This Row],[Task Code]],WO_Data_Masterlist[],13,FALSE)," ")</f>
        <v xml:space="preserve"> </v>
      </c>
      <c r="N40" s="9" t="str">
        <f>IFERROR(VLOOKUP(Table210[[#This Row],[Task Code]],WO_Data_Masterlist[],17,FALSE)," ")</f>
        <v xml:space="preserve"> </v>
      </c>
      <c r="O40" s="37" t="str">
        <f>IFERROR(((Table210[[#This Row],[Operator]]*$O$3)+(Table210[[#This Row],[Truck]]*$O$4)+(((Table210[[#This Row],[Contractor]]+Table210[[#This Row],[Equipment]]+Table210[[#This Row],[Parts &amp; Materials]])*Table210[[#This Row],[Quantity2]])*Table210[[#This Row],[Frequency Data]]))+Table210[[#This Row],[Annual Energy Cost]]," ")</f>
        <v xml:space="preserve"> </v>
      </c>
    </row>
    <row r="41" spans="2:15" x14ac:dyDescent="0.25">
      <c r="B41" s="205"/>
      <c r="C41" s="214" t="str">
        <f>IFERROR(VLOOKUP(Table210[[#This Row],[Task Code]],WO_Data_Masterlist[],2,FALSE)," ")</f>
        <v xml:space="preserve"> </v>
      </c>
      <c r="D41" s="214" t="str">
        <f>IFERROR(VLOOKUP(Table210[[#This Row],[Task Code]],WO_Data_Masterlist[],4,FALSE)," ")</f>
        <v xml:space="preserve"> </v>
      </c>
      <c r="E41" s="28" t="str">
        <f>IFERROR(VLOOKUP(Table210[[#This Row],[Task Code]],WO_Data_Masterlist[],5,FALSE)," ")</f>
        <v xml:space="preserve"> </v>
      </c>
      <c r="F41" s="28" t="str">
        <f>IFERROR(VLOOKUP(Table210[[#This Row],[Task Code]],WO_Data_Masterlist[],6,FALSE)," ")</f>
        <v xml:space="preserve"> </v>
      </c>
      <c r="G41" s="28" t="e">
        <f>VLOOKUP(Table210[[#This Row],[Task Code]],WO_Data_Masterlist[],7,FALSE)</f>
        <v>#N/A</v>
      </c>
      <c r="H41" s="28" t="e">
        <f>IF(VLOOKUP(Table210[[#This Row],[Task Code]],WO_Data_Masterlist[],15,FALSE)="N/A",1,VLOOKUP(Table210[[#This Row],[Task Code]],WO_Data_Masterlist[],15,FALSE))</f>
        <v>#N/A</v>
      </c>
      <c r="I41" s="40" t="str">
        <f>IFERROR(VLOOKUP(Table210[[#This Row],[Task Code]],WO_Data_Masterlist[],9,FALSE)*Table210[[#This Row],[Frequency Data]]*Table210[[#This Row],[Quantity2]]," ")</f>
        <v xml:space="preserve"> </v>
      </c>
      <c r="J41" s="40" t="str">
        <f>IFERROR(VLOOKUP(Table210[[#This Row],[Task Code]],WO_Data_Masterlist[],10,FALSE)*Table210[[#This Row],[Frequency Data]]*Table210[[#This Row],[Quantity2]]," ")</f>
        <v xml:space="preserve"> </v>
      </c>
      <c r="K41" s="42" t="str">
        <f>IFERROR(VLOOKUP(Table210[[#This Row],[Task Code]],WO_Data_Masterlist[],11,FALSE)," ")</f>
        <v xml:space="preserve"> </v>
      </c>
      <c r="L41" s="9" t="str">
        <f>IFERROR(VLOOKUP(Table210[[#This Row],[Task Code]],WO_Data_Masterlist[],12,FALSE)," ")</f>
        <v xml:space="preserve"> </v>
      </c>
      <c r="M41" s="9" t="str">
        <f>IFERROR(VLOOKUP(Table210[[#This Row],[Task Code]],WO_Data_Masterlist[],13,FALSE)," ")</f>
        <v xml:space="preserve"> </v>
      </c>
      <c r="N41" s="9" t="str">
        <f>IFERROR(VLOOKUP(Table210[[#This Row],[Task Code]],WO_Data_Masterlist[],17,FALSE)," ")</f>
        <v xml:space="preserve"> </v>
      </c>
      <c r="O41" s="37" t="str">
        <f>IFERROR(((Table210[[#This Row],[Operator]]*$O$3)+(Table210[[#This Row],[Truck]]*$O$4)+(((Table210[[#This Row],[Contractor]]+Table210[[#This Row],[Equipment]]+Table210[[#This Row],[Parts &amp; Materials]])*Table210[[#This Row],[Quantity2]])*Table210[[#This Row],[Frequency Data]]))+Table210[[#This Row],[Annual Energy Cost]]," ")</f>
        <v xml:space="preserve"> </v>
      </c>
    </row>
    <row r="42" spans="2:15" x14ac:dyDescent="0.25">
      <c r="B42" s="205"/>
      <c r="C42" s="214" t="str">
        <f>IFERROR(VLOOKUP(Table210[[#This Row],[Task Code]],WO_Data_Masterlist[],2,FALSE)," ")</f>
        <v xml:space="preserve"> </v>
      </c>
      <c r="D42" s="214" t="str">
        <f>IFERROR(VLOOKUP(Table210[[#This Row],[Task Code]],WO_Data_Masterlist[],4,FALSE)," ")</f>
        <v xml:space="preserve"> </v>
      </c>
      <c r="E42" s="28" t="str">
        <f>IFERROR(VLOOKUP(Table210[[#This Row],[Task Code]],WO_Data_Masterlist[],5,FALSE)," ")</f>
        <v xml:space="preserve"> </v>
      </c>
      <c r="F42" s="28" t="str">
        <f>IFERROR(VLOOKUP(Table210[[#This Row],[Task Code]],WO_Data_Masterlist[],6,FALSE)," ")</f>
        <v xml:space="preserve"> </v>
      </c>
      <c r="G42" s="28" t="e">
        <f>VLOOKUP(Table210[[#This Row],[Task Code]],WO_Data_Masterlist[],7,FALSE)</f>
        <v>#N/A</v>
      </c>
      <c r="H42" s="28" t="e">
        <f>IF(VLOOKUP(Table210[[#This Row],[Task Code]],WO_Data_Masterlist[],15,FALSE)="N/A",1,VLOOKUP(Table210[[#This Row],[Task Code]],WO_Data_Masterlist[],15,FALSE))</f>
        <v>#N/A</v>
      </c>
      <c r="I42" s="40" t="str">
        <f>IFERROR(VLOOKUP(Table210[[#This Row],[Task Code]],WO_Data_Masterlist[],9,FALSE)*Table210[[#This Row],[Frequency Data]]*Table210[[#This Row],[Quantity2]]," ")</f>
        <v xml:space="preserve"> </v>
      </c>
      <c r="J42" s="40" t="str">
        <f>IFERROR(VLOOKUP(Table210[[#This Row],[Task Code]],WO_Data_Masterlist[],10,FALSE)*Table210[[#This Row],[Frequency Data]]*Table210[[#This Row],[Quantity2]]," ")</f>
        <v xml:space="preserve"> </v>
      </c>
      <c r="K42" s="42" t="str">
        <f>IFERROR(VLOOKUP(Table210[[#This Row],[Task Code]],WO_Data_Masterlist[],11,FALSE)," ")</f>
        <v xml:space="preserve"> </v>
      </c>
      <c r="L42" s="9" t="str">
        <f>IFERROR(VLOOKUP(Table210[[#This Row],[Task Code]],WO_Data_Masterlist[],12,FALSE)," ")</f>
        <v xml:space="preserve"> </v>
      </c>
      <c r="M42" s="9" t="str">
        <f>IFERROR(VLOOKUP(Table210[[#This Row],[Task Code]],WO_Data_Masterlist[],13,FALSE)," ")</f>
        <v xml:space="preserve"> </v>
      </c>
      <c r="N42" s="9" t="str">
        <f>IFERROR(VLOOKUP(Table210[[#This Row],[Task Code]],WO_Data_Masterlist[],17,FALSE)," ")</f>
        <v xml:space="preserve"> </v>
      </c>
      <c r="O42" s="37" t="str">
        <f>IFERROR(((Table210[[#This Row],[Operator]]*$O$3)+(Table210[[#This Row],[Truck]]*$O$4)+(((Table210[[#This Row],[Contractor]]+Table210[[#This Row],[Equipment]]+Table210[[#This Row],[Parts &amp; Materials]])*Table210[[#This Row],[Quantity2]])*Table210[[#This Row],[Frequency Data]]))+Table210[[#This Row],[Annual Energy Cost]]," ")</f>
        <v xml:space="preserve"> </v>
      </c>
    </row>
    <row r="43" spans="2:15" x14ac:dyDescent="0.25">
      <c r="B43" s="205"/>
      <c r="C43" s="214" t="str">
        <f>IFERROR(VLOOKUP(Table210[[#This Row],[Task Code]],WO_Data_Masterlist[],2,FALSE)," ")</f>
        <v xml:space="preserve"> </v>
      </c>
      <c r="D43" s="214" t="str">
        <f>IFERROR(VLOOKUP(Table210[[#This Row],[Task Code]],WO_Data_Masterlist[],4,FALSE)," ")</f>
        <v xml:space="preserve"> </v>
      </c>
      <c r="E43" s="28" t="str">
        <f>IFERROR(VLOOKUP(Table210[[#This Row],[Task Code]],WO_Data_Masterlist[],5,FALSE)," ")</f>
        <v xml:space="preserve"> </v>
      </c>
      <c r="F43" s="28" t="str">
        <f>IFERROR(VLOOKUP(Table210[[#This Row],[Task Code]],WO_Data_Masterlist[],6,FALSE)," ")</f>
        <v xml:space="preserve"> </v>
      </c>
      <c r="G43" s="28" t="e">
        <f>VLOOKUP(Table210[[#This Row],[Task Code]],WO_Data_Masterlist[],7,FALSE)</f>
        <v>#N/A</v>
      </c>
      <c r="H43" s="28" t="e">
        <f>IF(VLOOKUP(Table210[[#This Row],[Task Code]],WO_Data_Masterlist[],15,FALSE)="N/A",1,VLOOKUP(Table210[[#This Row],[Task Code]],WO_Data_Masterlist[],15,FALSE))</f>
        <v>#N/A</v>
      </c>
      <c r="I43" s="40" t="str">
        <f>IFERROR(VLOOKUP(Table210[[#This Row],[Task Code]],WO_Data_Masterlist[],9,FALSE)*Table210[[#This Row],[Frequency Data]]*Table210[[#This Row],[Quantity2]]," ")</f>
        <v xml:space="preserve"> </v>
      </c>
      <c r="J43" s="40" t="str">
        <f>IFERROR(VLOOKUP(Table210[[#This Row],[Task Code]],WO_Data_Masterlist[],10,FALSE)*Table210[[#This Row],[Frequency Data]]*Table210[[#This Row],[Quantity2]]," ")</f>
        <v xml:space="preserve"> </v>
      </c>
      <c r="K43" s="42" t="str">
        <f>IFERROR(VLOOKUP(Table210[[#This Row],[Task Code]],WO_Data_Masterlist[],11,FALSE)," ")</f>
        <v xml:space="preserve"> </v>
      </c>
      <c r="L43" s="9" t="str">
        <f>IFERROR(VLOOKUP(Table210[[#This Row],[Task Code]],WO_Data_Masterlist[],12,FALSE)," ")</f>
        <v xml:space="preserve"> </v>
      </c>
      <c r="M43" s="9" t="str">
        <f>IFERROR(VLOOKUP(Table210[[#This Row],[Task Code]],WO_Data_Masterlist[],13,FALSE)," ")</f>
        <v xml:space="preserve"> </v>
      </c>
      <c r="N43" s="9" t="str">
        <f>IFERROR(VLOOKUP(Table210[[#This Row],[Task Code]],WO_Data_Masterlist[],17,FALSE)," ")</f>
        <v xml:space="preserve"> </v>
      </c>
      <c r="O43" s="37" t="str">
        <f>IFERROR(((Table210[[#This Row],[Operator]]*$O$3)+(Table210[[#This Row],[Truck]]*$O$4)+(((Table210[[#This Row],[Contractor]]+Table210[[#This Row],[Equipment]]+Table210[[#This Row],[Parts &amp; Materials]])*Table210[[#This Row],[Quantity2]])*Table210[[#This Row],[Frequency Data]]))+Table210[[#This Row],[Annual Energy Cost]]," ")</f>
        <v xml:space="preserve"> </v>
      </c>
    </row>
    <row r="44" spans="2:15" x14ac:dyDescent="0.25">
      <c r="B44" s="205"/>
      <c r="C44" s="214" t="str">
        <f>IFERROR(VLOOKUP(Table210[[#This Row],[Task Code]],WO_Data_Masterlist[],2,FALSE)," ")</f>
        <v xml:space="preserve"> </v>
      </c>
      <c r="D44" s="214" t="str">
        <f>IFERROR(VLOOKUP(Table210[[#This Row],[Task Code]],WO_Data_Masterlist[],4,FALSE)," ")</f>
        <v xml:space="preserve"> </v>
      </c>
      <c r="E44" s="28" t="str">
        <f>IFERROR(VLOOKUP(Table210[[#This Row],[Task Code]],WO_Data_Masterlist[],5,FALSE)," ")</f>
        <v xml:space="preserve"> </v>
      </c>
      <c r="F44" s="28" t="str">
        <f>IFERROR(VLOOKUP(Table210[[#This Row],[Task Code]],WO_Data_Masterlist[],6,FALSE)," ")</f>
        <v xml:space="preserve"> </v>
      </c>
      <c r="G44" s="28" t="e">
        <f>VLOOKUP(Table210[[#This Row],[Task Code]],WO_Data_Masterlist[],7,FALSE)</f>
        <v>#N/A</v>
      </c>
      <c r="H44" s="28" t="e">
        <f>IF(VLOOKUP(Table210[[#This Row],[Task Code]],WO_Data_Masterlist[],15,FALSE)="N/A",1,VLOOKUP(Table210[[#This Row],[Task Code]],WO_Data_Masterlist[],15,FALSE))</f>
        <v>#N/A</v>
      </c>
      <c r="I44" s="40" t="str">
        <f>IFERROR(VLOOKUP(Table210[[#This Row],[Task Code]],WO_Data_Masterlist[],9,FALSE)*Table210[[#This Row],[Frequency Data]]*Table210[[#This Row],[Quantity2]]," ")</f>
        <v xml:space="preserve"> </v>
      </c>
      <c r="J44" s="40" t="str">
        <f>IFERROR(VLOOKUP(Table210[[#This Row],[Task Code]],WO_Data_Masterlist[],10,FALSE)*Table210[[#This Row],[Frequency Data]]*Table210[[#This Row],[Quantity2]]," ")</f>
        <v xml:space="preserve"> </v>
      </c>
      <c r="K44" s="42" t="str">
        <f>IFERROR(VLOOKUP(Table210[[#This Row],[Task Code]],WO_Data_Masterlist[],11,FALSE)," ")</f>
        <v xml:space="preserve"> </v>
      </c>
      <c r="L44" s="9" t="str">
        <f>IFERROR(VLOOKUP(Table210[[#This Row],[Task Code]],WO_Data_Masterlist[],12,FALSE)," ")</f>
        <v xml:space="preserve"> </v>
      </c>
      <c r="M44" s="9" t="str">
        <f>IFERROR(VLOOKUP(Table210[[#This Row],[Task Code]],WO_Data_Masterlist[],13,FALSE)," ")</f>
        <v xml:space="preserve"> </v>
      </c>
      <c r="N44" s="9" t="str">
        <f>IFERROR(VLOOKUP(Table210[[#This Row],[Task Code]],WO_Data_Masterlist[],17,FALSE)," ")</f>
        <v xml:space="preserve"> </v>
      </c>
      <c r="O44" s="37" t="str">
        <f>IFERROR(((Table210[[#This Row],[Operator]]*$O$3)+(Table210[[#This Row],[Truck]]*$O$4)+(((Table210[[#This Row],[Contractor]]+Table210[[#This Row],[Equipment]]+Table210[[#This Row],[Parts &amp; Materials]])*Table210[[#This Row],[Quantity2]])*Table210[[#This Row],[Frequency Data]]))+Table210[[#This Row],[Annual Energy Cost]]," ")</f>
        <v xml:space="preserve"> </v>
      </c>
    </row>
    <row r="45" spans="2:15" x14ac:dyDescent="0.25">
      <c r="B45" s="205"/>
      <c r="C45" s="214" t="str">
        <f>IFERROR(VLOOKUP(Table210[[#This Row],[Task Code]],WO_Data_Masterlist[],2,FALSE)," ")</f>
        <v xml:space="preserve"> </v>
      </c>
      <c r="D45" s="214" t="str">
        <f>IFERROR(VLOOKUP(Table210[[#This Row],[Task Code]],WO_Data_Masterlist[],4,FALSE)," ")</f>
        <v xml:space="preserve"> </v>
      </c>
      <c r="E45" s="28" t="str">
        <f>IFERROR(VLOOKUP(Table210[[#This Row],[Task Code]],WO_Data_Masterlist[],5,FALSE)," ")</f>
        <v xml:space="preserve"> </v>
      </c>
      <c r="F45" s="28" t="str">
        <f>IFERROR(VLOOKUP(Table210[[#This Row],[Task Code]],WO_Data_Masterlist[],6,FALSE)," ")</f>
        <v xml:space="preserve"> </v>
      </c>
      <c r="G45" s="28" t="e">
        <f>VLOOKUP(Table210[[#This Row],[Task Code]],WO_Data_Masterlist[],7,FALSE)</f>
        <v>#N/A</v>
      </c>
      <c r="H45" s="28" t="e">
        <f>IF(VLOOKUP(Table210[[#This Row],[Task Code]],WO_Data_Masterlist[],15,FALSE)="N/A",1,VLOOKUP(Table210[[#This Row],[Task Code]],WO_Data_Masterlist[],15,FALSE))</f>
        <v>#N/A</v>
      </c>
      <c r="I45" s="40" t="str">
        <f>IFERROR(VLOOKUP(Table210[[#This Row],[Task Code]],WO_Data_Masterlist[],9,FALSE)*Table210[[#This Row],[Frequency Data]]*Table210[[#This Row],[Quantity2]]," ")</f>
        <v xml:space="preserve"> </v>
      </c>
      <c r="J45" s="40" t="str">
        <f>IFERROR(VLOOKUP(Table210[[#This Row],[Task Code]],WO_Data_Masterlist[],10,FALSE)*Table210[[#This Row],[Frequency Data]]*Table210[[#This Row],[Quantity2]]," ")</f>
        <v xml:space="preserve"> </v>
      </c>
      <c r="K45" s="42" t="str">
        <f>IFERROR(VLOOKUP(Table210[[#This Row],[Task Code]],WO_Data_Masterlist[],11,FALSE)," ")</f>
        <v xml:space="preserve"> </v>
      </c>
      <c r="L45" s="9" t="str">
        <f>IFERROR(VLOOKUP(Table210[[#This Row],[Task Code]],WO_Data_Masterlist[],12,FALSE)," ")</f>
        <v xml:space="preserve"> </v>
      </c>
      <c r="M45" s="9" t="str">
        <f>IFERROR(VLOOKUP(Table210[[#This Row],[Task Code]],WO_Data_Masterlist[],13,FALSE)," ")</f>
        <v xml:space="preserve"> </v>
      </c>
      <c r="N45" s="9" t="str">
        <f>IFERROR(VLOOKUP(Table210[[#This Row],[Task Code]],WO_Data_Masterlist[],17,FALSE)," ")</f>
        <v xml:space="preserve"> </v>
      </c>
      <c r="O45" s="37" t="str">
        <f>IFERROR(((Table210[[#This Row],[Operator]]*$O$3)+(Table210[[#This Row],[Truck]]*$O$4)+(((Table210[[#This Row],[Contractor]]+Table210[[#This Row],[Equipment]]+Table210[[#This Row],[Parts &amp; Materials]])*Table210[[#This Row],[Quantity2]])*Table210[[#This Row],[Frequency Data]]))+Table210[[#This Row],[Annual Energy Cost]]," ")</f>
        <v xml:space="preserve"> </v>
      </c>
    </row>
    <row r="46" spans="2:15" x14ac:dyDescent="0.25">
      <c r="B46" s="205"/>
      <c r="C46" s="214" t="str">
        <f>IFERROR(VLOOKUP(Table210[[#This Row],[Task Code]],WO_Data_Masterlist[],2,FALSE)," ")</f>
        <v xml:space="preserve"> </v>
      </c>
      <c r="D46" s="214" t="str">
        <f>IFERROR(VLOOKUP(Table210[[#This Row],[Task Code]],WO_Data_Masterlist[],4,FALSE)," ")</f>
        <v xml:space="preserve"> </v>
      </c>
      <c r="E46" s="28" t="str">
        <f>IFERROR(VLOOKUP(Table210[[#This Row],[Task Code]],WO_Data_Masterlist[],5,FALSE)," ")</f>
        <v xml:space="preserve"> </v>
      </c>
      <c r="F46" s="28" t="str">
        <f>IFERROR(VLOOKUP(Table210[[#This Row],[Task Code]],WO_Data_Masterlist[],6,FALSE)," ")</f>
        <v xml:space="preserve"> </v>
      </c>
      <c r="G46" s="28" t="e">
        <f>VLOOKUP(Table210[[#This Row],[Task Code]],WO_Data_Masterlist[],7,FALSE)</f>
        <v>#N/A</v>
      </c>
      <c r="H46" s="28" t="e">
        <f>IF(VLOOKUP(Table210[[#This Row],[Task Code]],WO_Data_Masterlist[],15,FALSE)="N/A",1,VLOOKUP(Table210[[#This Row],[Task Code]],WO_Data_Masterlist[],15,FALSE))</f>
        <v>#N/A</v>
      </c>
      <c r="I46" s="40" t="str">
        <f>IFERROR(VLOOKUP(Table210[[#This Row],[Task Code]],WO_Data_Masterlist[],9,FALSE)*Table210[[#This Row],[Frequency Data]]*Table210[[#This Row],[Quantity2]]," ")</f>
        <v xml:space="preserve"> </v>
      </c>
      <c r="J46" s="40" t="str">
        <f>IFERROR(VLOOKUP(Table210[[#This Row],[Task Code]],WO_Data_Masterlist[],10,FALSE)*Table210[[#This Row],[Frequency Data]]*Table210[[#This Row],[Quantity2]]," ")</f>
        <v xml:space="preserve"> </v>
      </c>
      <c r="K46" s="42" t="str">
        <f>IFERROR(VLOOKUP(Table210[[#This Row],[Task Code]],WO_Data_Masterlist[],11,FALSE)," ")</f>
        <v xml:space="preserve"> </v>
      </c>
      <c r="L46" s="9" t="str">
        <f>IFERROR(VLOOKUP(Table210[[#This Row],[Task Code]],WO_Data_Masterlist[],12,FALSE)," ")</f>
        <v xml:space="preserve"> </v>
      </c>
      <c r="M46" s="9" t="str">
        <f>IFERROR(VLOOKUP(Table210[[#This Row],[Task Code]],WO_Data_Masterlist[],13,FALSE)," ")</f>
        <v xml:space="preserve"> </v>
      </c>
      <c r="N46" s="9" t="str">
        <f>IFERROR(VLOOKUP(Table210[[#This Row],[Task Code]],WO_Data_Masterlist[],17,FALSE)," ")</f>
        <v xml:space="preserve"> </v>
      </c>
      <c r="O46" s="37" t="str">
        <f>IFERROR(((Table210[[#This Row],[Operator]]*$O$3)+(Table210[[#This Row],[Truck]]*$O$4)+(((Table210[[#This Row],[Contractor]]+Table210[[#This Row],[Equipment]]+Table210[[#This Row],[Parts &amp; Materials]])*Table210[[#This Row],[Quantity2]])*Table210[[#This Row],[Frequency Data]]))+Table210[[#This Row],[Annual Energy Cost]]," ")</f>
        <v xml:space="preserve"> </v>
      </c>
    </row>
    <row r="47" spans="2:15" x14ac:dyDescent="0.25">
      <c r="B47" s="205"/>
      <c r="C47" s="214" t="str">
        <f>IFERROR(VLOOKUP(Table210[[#This Row],[Task Code]],WO_Data_Masterlist[],2,FALSE)," ")</f>
        <v xml:space="preserve"> </v>
      </c>
      <c r="D47" s="214" t="str">
        <f>IFERROR(VLOOKUP(Table210[[#This Row],[Task Code]],WO_Data_Masterlist[],4,FALSE)," ")</f>
        <v xml:space="preserve"> </v>
      </c>
      <c r="E47" s="28" t="str">
        <f>IFERROR(VLOOKUP(Table210[[#This Row],[Task Code]],WO_Data_Masterlist[],5,FALSE)," ")</f>
        <v xml:space="preserve"> </v>
      </c>
      <c r="F47" s="28" t="str">
        <f>IFERROR(VLOOKUP(Table210[[#This Row],[Task Code]],WO_Data_Masterlist[],6,FALSE)," ")</f>
        <v xml:space="preserve"> </v>
      </c>
      <c r="G47" s="28" t="e">
        <f>VLOOKUP(Table210[[#This Row],[Task Code]],WO_Data_Masterlist[],7,FALSE)</f>
        <v>#N/A</v>
      </c>
      <c r="H47" s="28" t="e">
        <f>IF(VLOOKUP(Table210[[#This Row],[Task Code]],WO_Data_Masterlist[],15,FALSE)="N/A",1,VLOOKUP(Table210[[#This Row],[Task Code]],WO_Data_Masterlist[],15,FALSE))</f>
        <v>#N/A</v>
      </c>
      <c r="I47" s="40" t="str">
        <f>IFERROR(VLOOKUP(Table210[[#This Row],[Task Code]],WO_Data_Masterlist[],9,FALSE)*Table210[[#This Row],[Frequency Data]]*Table210[[#This Row],[Quantity2]]," ")</f>
        <v xml:space="preserve"> </v>
      </c>
      <c r="J47" s="40" t="str">
        <f>IFERROR(VLOOKUP(Table210[[#This Row],[Task Code]],WO_Data_Masterlist[],10,FALSE)*Table210[[#This Row],[Frequency Data]]*Table210[[#This Row],[Quantity2]]," ")</f>
        <v xml:space="preserve"> </v>
      </c>
      <c r="K47" s="42" t="str">
        <f>IFERROR(VLOOKUP(Table210[[#This Row],[Task Code]],WO_Data_Masterlist[],11,FALSE)," ")</f>
        <v xml:space="preserve"> </v>
      </c>
      <c r="L47" s="9" t="str">
        <f>IFERROR(VLOOKUP(Table210[[#This Row],[Task Code]],WO_Data_Masterlist[],12,FALSE)," ")</f>
        <v xml:space="preserve"> </v>
      </c>
      <c r="M47" s="9" t="str">
        <f>IFERROR(VLOOKUP(Table210[[#This Row],[Task Code]],WO_Data_Masterlist[],13,FALSE)," ")</f>
        <v xml:space="preserve"> </v>
      </c>
      <c r="N47" s="9" t="str">
        <f>IFERROR(VLOOKUP(Table210[[#This Row],[Task Code]],WO_Data_Masterlist[],17,FALSE)," ")</f>
        <v xml:space="preserve"> </v>
      </c>
      <c r="O47" s="37" t="str">
        <f>IFERROR(((Table210[[#This Row],[Operator]]*$O$3)+(Table210[[#This Row],[Truck]]*$O$4)+(((Table210[[#This Row],[Contractor]]+Table210[[#This Row],[Equipment]]+Table210[[#This Row],[Parts &amp; Materials]])*Table210[[#This Row],[Quantity2]])*Table210[[#This Row],[Frequency Data]]))+Table210[[#This Row],[Annual Energy Cost]]," ")</f>
        <v xml:space="preserve"> </v>
      </c>
    </row>
    <row r="48" spans="2:15" x14ac:dyDescent="0.25">
      <c r="B48" s="205"/>
      <c r="C48" s="214" t="str">
        <f>IFERROR(VLOOKUP(Table210[[#This Row],[Task Code]],WO_Data_Masterlist[],2,FALSE)," ")</f>
        <v xml:space="preserve"> </v>
      </c>
      <c r="D48" s="214" t="str">
        <f>IFERROR(VLOOKUP(Table210[[#This Row],[Task Code]],WO_Data_Masterlist[],4,FALSE)," ")</f>
        <v xml:space="preserve"> </v>
      </c>
      <c r="E48" s="28" t="str">
        <f>IFERROR(VLOOKUP(Table210[[#This Row],[Task Code]],WO_Data_Masterlist[],5,FALSE)," ")</f>
        <v xml:space="preserve"> </v>
      </c>
      <c r="F48" s="28" t="str">
        <f>IFERROR(VLOOKUP(Table210[[#This Row],[Task Code]],WO_Data_Masterlist[],6,FALSE)," ")</f>
        <v xml:space="preserve"> </v>
      </c>
      <c r="G48" s="28" t="e">
        <f>VLOOKUP(Table210[[#This Row],[Task Code]],WO_Data_Masterlist[],7,FALSE)</f>
        <v>#N/A</v>
      </c>
      <c r="H48" s="28" t="e">
        <f>IF(VLOOKUP(Table210[[#This Row],[Task Code]],WO_Data_Masterlist[],15,FALSE)="N/A",1,VLOOKUP(Table210[[#This Row],[Task Code]],WO_Data_Masterlist[],15,FALSE))</f>
        <v>#N/A</v>
      </c>
      <c r="I48" s="40" t="str">
        <f>IFERROR(VLOOKUP(Table210[[#This Row],[Task Code]],WO_Data_Masterlist[],9,FALSE)*Table210[[#This Row],[Frequency Data]]*Table210[[#This Row],[Quantity2]]," ")</f>
        <v xml:space="preserve"> </v>
      </c>
      <c r="J48" s="40" t="str">
        <f>IFERROR(VLOOKUP(Table210[[#This Row],[Task Code]],WO_Data_Masterlist[],10,FALSE)*Table210[[#This Row],[Frequency Data]]*Table210[[#This Row],[Quantity2]]," ")</f>
        <v xml:space="preserve"> </v>
      </c>
      <c r="K48" s="42" t="str">
        <f>IFERROR(VLOOKUP(Table210[[#This Row],[Task Code]],WO_Data_Masterlist[],11,FALSE)," ")</f>
        <v xml:space="preserve"> </v>
      </c>
      <c r="L48" s="9" t="str">
        <f>IFERROR(VLOOKUP(Table210[[#This Row],[Task Code]],WO_Data_Masterlist[],12,FALSE)," ")</f>
        <v xml:space="preserve"> </v>
      </c>
      <c r="M48" s="9" t="str">
        <f>IFERROR(VLOOKUP(Table210[[#This Row],[Task Code]],WO_Data_Masterlist[],13,FALSE)," ")</f>
        <v xml:space="preserve"> </v>
      </c>
      <c r="N48" s="9" t="str">
        <f>IFERROR(VLOOKUP(Table210[[#This Row],[Task Code]],WO_Data_Masterlist[],17,FALSE)," ")</f>
        <v xml:space="preserve"> </v>
      </c>
      <c r="O48" s="37" t="str">
        <f>IFERROR(((Table210[[#This Row],[Operator]]*$O$3)+(Table210[[#This Row],[Truck]]*$O$4)+(((Table210[[#This Row],[Contractor]]+Table210[[#This Row],[Equipment]]+Table210[[#This Row],[Parts &amp; Materials]])*Table210[[#This Row],[Quantity2]])*Table210[[#This Row],[Frequency Data]]))+Table210[[#This Row],[Annual Energy Cost]]," ")</f>
        <v xml:space="preserve"> </v>
      </c>
    </row>
    <row r="49" spans="2:15" x14ac:dyDescent="0.25">
      <c r="B49" s="205"/>
      <c r="C49" s="214" t="str">
        <f>IFERROR(VLOOKUP(Table210[[#This Row],[Task Code]],WO_Data_Masterlist[],2,FALSE)," ")</f>
        <v xml:space="preserve"> </v>
      </c>
      <c r="D49" s="214" t="str">
        <f>IFERROR(VLOOKUP(Table210[[#This Row],[Task Code]],WO_Data_Masterlist[],4,FALSE)," ")</f>
        <v xml:space="preserve"> </v>
      </c>
      <c r="E49" s="28" t="str">
        <f>IFERROR(VLOOKUP(Table210[[#This Row],[Task Code]],WO_Data_Masterlist[],5,FALSE)," ")</f>
        <v xml:space="preserve"> </v>
      </c>
      <c r="F49" s="28" t="str">
        <f>IFERROR(VLOOKUP(Table210[[#This Row],[Task Code]],WO_Data_Masterlist[],6,FALSE)," ")</f>
        <v xml:space="preserve"> </v>
      </c>
      <c r="G49" s="28" t="e">
        <f>VLOOKUP(Table210[[#This Row],[Task Code]],WO_Data_Masterlist[],7,FALSE)</f>
        <v>#N/A</v>
      </c>
      <c r="H49" s="28" t="e">
        <f>IF(VLOOKUP(Table210[[#This Row],[Task Code]],WO_Data_Masterlist[],15,FALSE)="N/A",1,VLOOKUP(Table210[[#This Row],[Task Code]],WO_Data_Masterlist[],15,FALSE))</f>
        <v>#N/A</v>
      </c>
      <c r="I49" s="40" t="str">
        <f>IFERROR(VLOOKUP(Table210[[#This Row],[Task Code]],WO_Data_Masterlist[],9,FALSE)*Table210[[#This Row],[Frequency Data]]*Table210[[#This Row],[Quantity2]]," ")</f>
        <v xml:space="preserve"> </v>
      </c>
      <c r="J49" s="40" t="str">
        <f>IFERROR(VLOOKUP(Table210[[#This Row],[Task Code]],WO_Data_Masterlist[],10,FALSE)*Table210[[#This Row],[Frequency Data]]*Table210[[#This Row],[Quantity2]]," ")</f>
        <v xml:space="preserve"> </v>
      </c>
      <c r="K49" s="42" t="str">
        <f>IFERROR(VLOOKUP(Table210[[#This Row],[Task Code]],WO_Data_Masterlist[],11,FALSE)," ")</f>
        <v xml:space="preserve"> </v>
      </c>
      <c r="L49" s="9" t="str">
        <f>IFERROR(VLOOKUP(Table210[[#This Row],[Task Code]],WO_Data_Masterlist[],12,FALSE)," ")</f>
        <v xml:space="preserve"> </v>
      </c>
      <c r="M49" s="9" t="str">
        <f>IFERROR(VLOOKUP(Table210[[#This Row],[Task Code]],WO_Data_Masterlist[],13,FALSE)," ")</f>
        <v xml:space="preserve"> </v>
      </c>
      <c r="N49" s="9" t="str">
        <f>IFERROR(VLOOKUP(Table210[[#This Row],[Task Code]],WO_Data_Masterlist[],17,FALSE)," ")</f>
        <v xml:space="preserve"> </v>
      </c>
      <c r="O49" s="37" t="str">
        <f>IFERROR(((Table210[[#This Row],[Operator]]*$O$3)+(Table210[[#This Row],[Truck]]*$O$4)+(((Table210[[#This Row],[Contractor]]+Table210[[#This Row],[Equipment]]+Table210[[#This Row],[Parts &amp; Materials]])*Table210[[#This Row],[Quantity2]])*Table210[[#This Row],[Frequency Data]]))+Table210[[#This Row],[Annual Energy Cost]]," ")</f>
        <v xml:space="preserve"> </v>
      </c>
    </row>
    <row r="50" spans="2:15" x14ac:dyDescent="0.25">
      <c r="B50" s="205"/>
      <c r="C50" s="214" t="str">
        <f>IFERROR(VLOOKUP(Table210[[#This Row],[Task Code]],WO_Data_Masterlist[],2,FALSE)," ")</f>
        <v xml:space="preserve"> </v>
      </c>
      <c r="D50" s="214" t="str">
        <f>IFERROR(VLOOKUP(Table210[[#This Row],[Task Code]],WO_Data_Masterlist[],4,FALSE)," ")</f>
        <v xml:space="preserve"> </v>
      </c>
      <c r="E50" s="28" t="str">
        <f>IFERROR(VLOOKUP(Table210[[#This Row],[Task Code]],WO_Data_Masterlist[],5,FALSE)," ")</f>
        <v xml:space="preserve"> </v>
      </c>
      <c r="F50" s="28" t="str">
        <f>IFERROR(VLOOKUP(Table210[[#This Row],[Task Code]],WO_Data_Masterlist[],6,FALSE)," ")</f>
        <v xml:space="preserve"> </v>
      </c>
      <c r="G50" s="28" t="e">
        <f>VLOOKUP(Table210[[#This Row],[Task Code]],WO_Data_Masterlist[],7,FALSE)</f>
        <v>#N/A</v>
      </c>
      <c r="H50" s="28" t="e">
        <f>IF(VLOOKUP(Table210[[#This Row],[Task Code]],WO_Data_Masterlist[],15,FALSE)="N/A",1,VLOOKUP(Table210[[#This Row],[Task Code]],WO_Data_Masterlist[],15,FALSE))</f>
        <v>#N/A</v>
      </c>
      <c r="I50" s="40" t="str">
        <f>IFERROR(VLOOKUP(Table210[[#This Row],[Task Code]],WO_Data_Masterlist[],9,FALSE)*Table210[[#This Row],[Frequency Data]]*Table210[[#This Row],[Quantity2]]," ")</f>
        <v xml:space="preserve"> </v>
      </c>
      <c r="J50" s="40" t="str">
        <f>IFERROR(VLOOKUP(Table210[[#This Row],[Task Code]],WO_Data_Masterlist[],10,FALSE)*Table210[[#This Row],[Frequency Data]]*Table210[[#This Row],[Quantity2]]," ")</f>
        <v xml:space="preserve"> </v>
      </c>
      <c r="K50" s="42" t="str">
        <f>IFERROR(VLOOKUP(Table210[[#This Row],[Task Code]],WO_Data_Masterlist[],11,FALSE)," ")</f>
        <v xml:space="preserve"> </v>
      </c>
      <c r="L50" s="9" t="str">
        <f>IFERROR(VLOOKUP(Table210[[#This Row],[Task Code]],WO_Data_Masterlist[],12,FALSE)," ")</f>
        <v xml:space="preserve"> </v>
      </c>
      <c r="M50" s="9" t="str">
        <f>IFERROR(VLOOKUP(Table210[[#This Row],[Task Code]],WO_Data_Masterlist[],13,FALSE)," ")</f>
        <v xml:space="preserve"> </v>
      </c>
      <c r="N50" s="9" t="str">
        <f>IFERROR(VLOOKUP(Table210[[#This Row],[Task Code]],WO_Data_Masterlist[],17,FALSE)," ")</f>
        <v xml:space="preserve"> </v>
      </c>
      <c r="O50" s="37" t="str">
        <f>IFERROR(((Table210[[#This Row],[Operator]]*$O$3)+(Table210[[#This Row],[Truck]]*$O$4)+(((Table210[[#This Row],[Contractor]]+Table210[[#This Row],[Equipment]]+Table210[[#This Row],[Parts &amp; Materials]])*Table210[[#This Row],[Quantity2]])*Table210[[#This Row],[Frequency Data]]))+Table210[[#This Row],[Annual Energy Cost]]," ")</f>
        <v xml:space="preserve"> </v>
      </c>
    </row>
    <row r="51" spans="2:15" x14ac:dyDescent="0.25">
      <c r="B51" s="205"/>
      <c r="C51" s="214" t="str">
        <f>IFERROR(VLOOKUP(Table210[[#This Row],[Task Code]],WO_Data_Masterlist[],2,FALSE)," ")</f>
        <v xml:space="preserve"> </v>
      </c>
      <c r="D51" s="214" t="str">
        <f>IFERROR(VLOOKUP(Table210[[#This Row],[Task Code]],WO_Data_Masterlist[],4,FALSE)," ")</f>
        <v xml:space="preserve"> </v>
      </c>
      <c r="E51" s="28" t="str">
        <f>IFERROR(VLOOKUP(Table210[[#This Row],[Task Code]],WO_Data_Masterlist[],5,FALSE)," ")</f>
        <v xml:space="preserve"> </v>
      </c>
      <c r="F51" s="28" t="str">
        <f>IFERROR(VLOOKUP(Table210[[#This Row],[Task Code]],WO_Data_Masterlist[],6,FALSE)," ")</f>
        <v xml:space="preserve"> </v>
      </c>
      <c r="G51" s="28" t="e">
        <f>VLOOKUP(Table210[[#This Row],[Task Code]],WO_Data_Masterlist[],7,FALSE)</f>
        <v>#N/A</v>
      </c>
      <c r="H51" s="28" t="e">
        <f>IF(VLOOKUP(Table210[[#This Row],[Task Code]],WO_Data_Masterlist[],15,FALSE)="N/A",1,VLOOKUP(Table210[[#This Row],[Task Code]],WO_Data_Masterlist[],15,FALSE))</f>
        <v>#N/A</v>
      </c>
      <c r="I51" s="40" t="str">
        <f>IFERROR(VLOOKUP(Table210[[#This Row],[Task Code]],WO_Data_Masterlist[],9,FALSE)*Table210[[#This Row],[Frequency Data]]*Table210[[#This Row],[Quantity2]]," ")</f>
        <v xml:space="preserve"> </v>
      </c>
      <c r="J51" s="40" t="str">
        <f>IFERROR(VLOOKUP(Table210[[#This Row],[Task Code]],WO_Data_Masterlist[],10,FALSE)*Table210[[#This Row],[Frequency Data]]*Table210[[#This Row],[Quantity2]]," ")</f>
        <v xml:space="preserve"> </v>
      </c>
      <c r="K51" s="42" t="str">
        <f>IFERROR(VLOOKUP(Table210[[#This Row],[Task Code]],WO_Data_Masterlist[],11,FALSE)," ")</f>
        <v xml:space="preserve"> </v>
      </c>
      <c r="L51" s="9" t="str">
        <f>IFERROR(VLOOKUP(Table210[[#This Row],[Task Code]],WO_Data_Masterlist[],12,FALSE)," ")</f>
        <v xml:space="preserve"> </v>
      </c>
      <c r="M51" s="9" t="str">
        <f>IFERROR(VLOOKUP(Table210[[#This Row],[Task Code]],WO_Data_Masterlist[],13,FALSE)," ")</f>
        <v xml:space="preserve"> </v>
      </c>
      <c r="N51" s="9" t="str">
        <f>IFERROR(VLOOKUP(Table210[[#This Row],[Task Code]],WO_Data_Masterlist[],17,FALSE)," ")</f>
        <v xml:space="preserve"> </v>
      </c>
      <c r="O51" s="37" t="str">
        <f>IFERROR(((Table210[[#This Row],[Operator]]*$O$3)+(Table210[[#This Row],[Truck]]*$O$4)+(((Table210[[#This Row],[Contractor]]+Table210[[#This Row],[Equipment]]+Table210[[#This Row],[Parts &amp; Materials]])*Table210[[#This Row],[Quantity2]])*Table210[[#This Row],[Frequency Data]]))+Table210[[#This Row],[Annual Energy Cost]]," ")</f>
        <v xml:space="preserve"> </v>
      </c>
    </row>
    <row r="52" spans="2:15" x14ac:dyDescent="0.25">
      <c r="B52" s="205"/>
      <c r="C52" s="214" t="str">
        <f>IFERROR(VLOOKUP(Table210[[#This Row],[Task Code]],WO_Data_Masterlist[],2,FALSE)," ")</f>
        <v xml:space="preserve"> </v>
      </c>
      <c r="D52" s="214" t="str">
        <f>IFERROR(VLOOKUP(Table210[[#This Row],[Task Code]],WO_Data_Masterlist[],4,FALSE)," ")</f>
        <v xml:space="preserve"> </v>
      </c>
      <c r="E52" s="28" t="str">
        <f>IFERROR(VLOOKUP(Table210[[#This Row],[Task Code]],WO_Data_Masterlist[],5,FALSE)," ")</f>
        <v xml:space="preserve"> </v>
      </c>
      <c r="F52" s="28" t="str">
        <f>IFERROR(VLOOKUP(Table210[[#This Row],[Task Code]],WO_Data_Masterlist[],6,FALSE)," ")</f>
        <v xml:space="preserve"> </v>
      </c>
      <c r="G52" s="28" t="e">
        <f>VLOOKUP(Table210[[#This Row],[Task Code]],WO_Data_Masterlist[],7,FALSE)</f>
        <v>#N/A</v>
      </c>
      <c r="H52" s="28" t="e">
        <f>IF(VLOOKUP(Table210[[#This Row],[Task Code]],WO_Data_Masterlist[],15,FALSE)="N/A",1,VLOOKUP(Table210[[#This Row],[Task Code]],WO_Data_Masterlist[],15,FALSE))</f>
        <v>#N/A</v>
      </c>
      <c r="I52" s="40" t="str">
        <f>IFERROR(VLOOKUP(Table210[[#This Row],[Task Code]],WO_Data_Masterlist[],9,FALSE)*Table210[[#This Row],[Frequency Data]]*Table210[[#This Row],[Quantity2]]," ")</f>
        <v xml:space="preserve"> </v>
      </c>
      <c r="J52" s="40" t="str">
        <f>IFERROR(VLOOKUP(Table210[[#This Row],[Task Code]],WO_Data_Masterlist[],10,FALSE)*Table210[[#This Row],[Frequency Data]]*Table210[[#This Row],[Quantity2]]," ")</f>
        <v xml:space="preserve"> </v>
      </c>
      <c r="K52" s="42" t="str">
        <f>IFERROR(VLOOKUP(Table210[[#This Row],[Task Code]],WO_Data_Masterlist[],11,FALSE)," ")</f>
        <v xml:space="preserve"> </v>
      </c>
      <c r="L52" s="9" t="str">
        <f>IFERROR(VLOOKUP(Table210[[#This Row],[Task Code]],WO_Data_Masterlist[],12,FALSE)," ")</f>
        <v xml:space="preserve"> </v>
      </c>
      <c r="M52" s="9" t="str">
        <f>IFERROR(VLOOKUP(Table210[[#This Row],[Task Code]],WO_Data_Masterlist[],13,FALSE)," ")</f>
        <v xml:space="preserve"> </v>
      </c>
      <c r="N52" s="9" t="str">
        <f>IFERROR(VLOOKUP(Table210[[#This Row],[Task Code]],WO_Data_Masterlist[],17,FALSE)," ")</f>
        <v xml:space="preserve"> </v>
      </c>
      <c r="O52" s="37" t="str">
        <f>IFERROR(((Table210[[#This Row],[Operator]]*$O$3)+(Table210[[#This Row],[Truck]]*$O$4)+(((Table210[[#This Row],[Contractor]]+Table210[[#This Row],[Equipment]]+Table210[[#This Row],[Parts &amp; Materials]])*Table210[[#This Row],[Quantity2]])*Table210[[#This Row],[Frequency Data]]))+Table210[[#This Row],[Annual Energy Cost]]," ")</f>
        <v xml:space="preserve"> </v>
      </c>
    </row>
    <row r="53" spans="2:15" x14ac:dyDescent="0.25">
      <c r="B53" s="205"/>
      <c r="C53" s="214" t="str">
        <f>IFERROR(VLOOKUP(Table210[[#This Row],[Task Code]],WO_Data_Masterlist[],2,FALSE)," ")</f>
        <v xml:space="preserve"> </v>
      </c>
      <c r="D53" s="214" t="str">
        <f>IFERROR(VLOOKUP(Table210[[#This Row],[Task Code]],WO_Data_Masterlist[],4,FALSE)," ")</f>
        <v xml:space="preserve"> </v>
      </c>
      <c r="E53" s="28" t="str">
        <f>IFERROR(VLOOKUP(Table210[[#This Row],[Task Code]],WO_Data_Masterlist[],5,FALSE)," ")</f>
        <v xml:space="preserve"> </v>
      </c>
      <c r="F53" s="28" t="str">
        <f>IFERROR(VLOOKUP(Table210[[#This Row],[Task Code]],WO_Data_Masterlist[],6,FALSE)," ")</f>
        <v xml:space="preserve"> </v>
      </c>
      <c r="G53" s="28" t="e">
        <f>VLOOKUP(Table210[[#This Row],[Task Code]],WO_Data_Masterlist[],7,FALSE)</f>
        <v>#N/A</v>
      </c>
      <c r="H53" s="28" t="e">
        <f>IF(VLOOKUP(Table210[[#This Row],[Task Code]],WO_Data_Masterlist[],15,FALSE)="N/A",1,VLOOKUP(Table210[[#This Row],[Task Code]],WO_Data_Masterlist[],15,FALSE))</f>
        <v>#N/A</v>
      </c>
      <c r="I53" s="40" t="str">
        <f>IFERROR(VLOOKUP(Table210[[#This Row],[Task Code]],WO_Data_Masterlist[],9,FALSE)*Table210[[#This Row],[Frequency Data]]*Table210[[#This Row],[Quantity2]]," ")</f>
        <v xml:space="preserve"> </v>
      </c>
      <c r="J53" s="40" t="str">
        <f>IFERROR(VLOOKUP(Table210[[#This Row],[Task Code]],WO_Data_Masterlist[],10,FALSE)*Table210[[#This Row],[Frequency Data]]*Table210[[#This Row],[Quantity2]]," ")</f>
        <v xml:space="preserve"> </v>
      </c>
      <c r="K53" s="42" t="str">
        <f>IFERROR(VLOOKUP(Table210[[#This Row],[Task Code]],WO_Data_Masterlist[],11,FALSE)," ")</f>
        <v xml:space="preserve"> </v>
      </c>
      <c r="L53" s="9" t="str">
        <f>IFERROR(VLOOKUP(Table210[[#This Row],[Task Code]],WO_Data_Masterlist[],12,FALSE)," ")</f>
        <v xml:space="preserve"> </v>
      </c>
      <c r="M53" s="9" t="str">
        <f>IFERROR(VLOOKUP(Table210[[#This Row],[Task Code]],WO_Data_Masterlist[],13,FALSE)," ")</f>
        <v xml:space="preserve"> </v>
      </c>
      <c r="N53" s="9" t="str">
        <f>IFERROR(VLOOKUP(Table210[[#This Row],[Task Code]],WO_Data_Masterlist[],17,FALSE)," ")</f>
        <v xml:space="preserve"> </v>
      </c>
      <c r="O53" s="37" t="str">
        <f>IFERROR(((Table210[[#This Row],[Operator]]*$O$3)+(Table210[[#This Row],[Truck]]*$O$4)+(((Table210[[#This Row],[Contractor]]+Table210[[#This Row],[Equipment]]+Table210[[#This Row],[Parts &amp; Materials]])*Table210[[#This Row],[Quantity2]])*Table210[[#This Row],[Frequency Data]]))+Table210[[#This Row],[Annual Energy Cost]]," ")</f>
        <v xml:space="preserve"> </v>
      </c>
    </row>
    <row r="54" spans="2:15" x14ac:dyDescent="0.25">
      <c r="B54" s="205"/>
      <c r="C54" s="214" t="str">
        <f>IFERROR(VLOOKUP(Table210[[#This Row],[Task Code]],WO_Data_Masterlist[],2,FALSE)," ")</f>
        <v xml:space="preserve"> </v>
      </c>
      <c r="D54" s="214" t="str">
        <f>IFERROR(VLOOKUP(Table210[[#This Row],[Task Code]],WO_Data_Masterlist[],4,FALSE)," ")</f>
        <v xml:space="preserve"> </v>
      </c>
      <c r="E54" s="28" t="str">
        <f>IFERROR(VLOOKUP(Table210[[#This Row],[Task Code]],WO_Data_Masterlist[],5,FALSE)," ")</f>
        <v xml:space="preserve"> </v>
      </c>
      <c r="F54" s="28" t="str">
        <f>IFERROR(VLOOKUP(Table210[[#This Row],[Task Code]],WO_Data_Masterlist[],6,FALSE)," ")</f>
        <v xml:space="preserve"> </v>
      </c>
      <c r="G54" s="28" t="e">
        <f>VLOOKUP(Table210[[#This Row],[Task Code]],WO_Data_Masterlist[],7,FALSE)</f>
        <v>#N/A</v>
      </c>
      <c r="H54" s="28" t="e">
        <f>IF(VLOOKUP(Table210[[#This Row],[Task Code]],WO_Data_Masterlist[],15,FALSE)="N/A",1,VLOOKUP(Table210[[#This Row],[Task Code]],WO_Data_Masterlist[],15,FALSE))</f>
        <v>#N/A</v>
      </c>
      <c r="I54" s="40" t="str">
        <f>IFERROR(VLOOKUP(Table210[[#This Row],[Task Code]],WO_Data_Masterlist[],9,FALSE)*Table210[[#This Row],[Frequency Data]]*Table210[[#This Row],[Quantity2]]," ")</f>
        <v xml:space="preserve"> </v>
      </c>
      <c r="J54" s="40" t="str">
        <f>IFERROR(VLOOKUP(Table210[[#This Row],[Task Code]],WO_Data_Masterlist[],10,FALSE)*Table210[[#This Row],[Frequency Data]]*Table210[[#This Row],[Quantity2]]," ")</f>
        <v xml:space="preserve"> </v>
      </c>
      <c r="K54" s="42" t="str">
        <f>IFERROR(VLOOKUP(Table210[[#This Row],[Task Code]],WO_Data_Masterlist[],11,FALSE)," ")</f>
        <v xml:space="preserve"> </v>
      </c>
      <c r="L54" s="9" t="str">
        <f>IFERROR(VLOOKUP(Table210[[#This Row],[Task Code]],WO_Data_Masterlist[],12,FALSE)," ")</f>
        <v xml:space="preserve"> </v>
      </c>
      <c r="M54" s="9" t="str">
        <f>IFERROR(VLOOKUP(Table210[[#This Row],[Task Code]],WO_Data_Masterlist[],13,FALSE)," ")</f>
        <v xml:space="preserve"> </v>
      </c>
      <c r="N54" s="9" t="str">
        <f>IFERROR(VLOOKUP(Table210[[#This Row],[Task Code]],WO_Data_Masterlist[],17,FALSE)," ")</f>
        <v xml:space="preserve"> </v>
      </c>
      <c r="O54" s="37" t="str">
        <f>IFERROR(((Table210[[#This Row],[Operator]]*$O$3)+(Table210[[#This Row],[Truck]]*$O$4)+(((Table210[[#This Row],[Contractor]]+Table210[[#This Row],[Equipment]]+Table210[[#This Row],[Parts &amp; Materials]])*Table210[[#This Row],[Quantity2]])*Table210[[#This Row],[Frequency Data]]))+Table210[[#This Row],[Annual Energy Cost]]," ")</f>
        <v xml:space="preserve"> </v>
      </c>
    </row>
    <row r="55" spans="2:15" x14ac:dyDescent="0.25">
      <c r="B55" s="205"/>
      <c r="C55" s="214" t="str">
        <f>IFERROR(VLOOKUP(Table210[[#This Row],[Task Code]],WO_Data_Masterlist[],2,FALSE)," ")</f>
        <v xml:space="preserve"> </v>
      </c>
      <c r="D55" s="214" t="str">
        <f>IFERROR(VLOOKUP(Table210[[#This Row],[Task Code]],WO_Data_Masterlist[],4,FALSE)," ")</f>
        <v xml:space="preserve"> </v>
      </c>
      <c r="E55" s="28" t="str">
        <f>IFERROR(VLOOKUP(Table210[[#This Row],[Task Code]],WO_Data_Masterlist[],5,FALSE)," ")</f>
        <v xml:space="preserve"> </v>
      </c>
      <c r="F55" s="28" t="str">
        <f>IFERROR(VLOOKUP(Table210[[#This Row],[Task Code]],WO_Data_Masterlist[],6,FALSE)," ")</f>
        <v xml:space="preserve"> </v>
      </c>
      <c r="G55" s="28" t="e">
        <f>VLOOKUP(Table210[[#This Row],[Task Code]],WO_Data_Masterlist[],7,FALSE)</f>
        <v>#N/A</v>
      </c>
      <c r="H55" s="28" t="e">
        <f>IF(VLOOKUP(Table210[[#This Row],[Task Code]],WO_Data_Masterlist[],15,FALSE)="N/A",1,VLOOKUP(Table210[[#This Row],[Task Code]],WO_Data_Masterlist[],15,FALSE))</f>
        <v>#N/A</v>
      </c>
      <c r="I55" s="40" t="str">
        <f>IFERROR(VLOOKUP(Table210[[#This Row],[Task Code]],WO_Data_Masterlist[],9,FALSE)*Table210[[#This Row],[Frequency Data]]*Table210[[#This Row],[Quantity2]]," ")</f>
        <v xml:space="preserve"> </v>
      </c>
      <c r="J55" s="40" t="str">
        <f>IFERROR(VLOOKUP(Table210[[#This Row],[Task Code]],WO_Data_Masterlist[],10,FALSE)*Table210[[#This Row],[Frequency Data]]*Table210[[#This Row],[Quantity2]]," ")</f>
        <v xml:space="preserve"> </v>
      </c>
      <c r="K55" s="42" t="str">
        <f>IFERROR(VLOOKUP(Table210[[#This Row],[Task Code]],WO_Data_Masterlist[],11,FALSE)," ")</f>
        <v xml:space="preserve"> </v>
      </c>
      <c r="L55" s="9" t="str">
        <f>IFERROR(VLOOKUP(Table210[[#This Row],[Task Code]],WO_Data_Masterlist[],12,FALSE)," ")</f>
        <v xml:space="preserve"> </v>
      </c>
      <c r="M55" s="9" t="str">
        <f>IFERROR(VLOOKUP(Table210[[#This Row],[Task Code]],WO_Data_Masterlist[],13,FALSE)," ")</f>
        <v xml:space="preserve"> </v>
      </c>
      <c r="N55" s="9" t="str">
        <f>IFERROR(VLOOKUP(Table210[[#This Row],[Task Code]],WO_Data_Masterlist[],17,FALSE)," ")</f>
        <v xml:space="preserve"> </v>
      </c>
      <c r="O55" s="37" t="str">
        <f>IFERROR(((Table210[[#This Row],[Operator]]*$O$3)+(Table210[[#This Row],[Truck]]*$O$4)+(((Table210[[#This Row],[Contractor]]+Table210[[#This Row],[Equipment]]+Table210[[#This Row],[Parts &amp; Materials]])*Table210[[#This Row],[Quantity2]])*Table210[[#This Row],[Frequency Data]]))+Table210[[#This Row],[Annual Energy Cost]]," ")</f>
        <v xml:space="preserve"> </v>
      </c>
    </row>
    <row r="56" spans="2:15" x14ac:dyDescent="0.25">
      <c r="B56" s="205"/>
      <c r="C56" s="214" t="str">
        <f>IFERROR(VLOOKUP(Table210[[#This Row],[Task Code]],WO_Data_Masterlist[],2,FALSE)," ")</f>
        <v xml:space="preserve"> </v>
      </c>
      <c r="D56" s="214" t="str">
        <f>IFERROR(VLOOKUP(Table210[[#This Row],[Task Code]],WO_Data_Masterlist[],4,FALSE)," ")</f>
        <v xml:space="preserve"> </v>
      </c>
      <c r="E56" s="28" t="str">
        <f>IFERROR(VLOOKUP(Table210[[#This Row],[Task Code]],WO_Data_Masterlist[],5,FALSE)," ")</f>
        <v xml:space="preserve"> </v>
      </c>
      <c r="F56" s="28" t="str">
        <f>IFERROR(VLOOKUP(Table210[[#This Row],[Task Code]],WO_Data_Masterlist[],6,FALSE)," ")</f>
        <v xml:space="preserve"> </v>
      </c>
      <c r="G56" s="28" t="e">
        <f>VLOOKUP(Table210[[#This Row],[Task Code]],WO_Data_Masterlist[],7,FALSE)</f>
        <v>#N/A</v>
      </c>
      <c r="H56" s="28" t="e">
        <f>IF(VLOOKUP(Table210[[#This Row],[Task Code]],WO_Data_Masterlist[],15,FALSE)="N/A",1,VLOOKUP(Table210[[#This Row],[Task Code]],WO_Data_Masterlist[],15,FALSE))</f>
        <v>#N/A</v>
      </c>
      <c r="I56" s="40" t="str">
        <f>IFERROR(VLOOKUP(Table210[[#This Row],[Task Code]],WO_Data_Masterlist[],9,FALSE)*Table210[[#This Row],[Frequency Data]]*Table210[[#This Row],[Quantity2]]," ")</f>
        <v xml:space="preserve"> </v>
      </c>
      <c r="J56" s="40" t="str">
        <f>IFERROR(VLOOKUP(Table210[[#This Row],[Task Code]],WO_Data_Masterlist[],10,FALSE)*Table210[[#This Row],[Frequency Data]]*Table210[[#This Row],[Quantity2]]," ")</f>
        <v xml:space="preserve"> </v>
      </c>
      <c r="K56" s="42" t="str">
        <f>IFERROR(VLOOKUP(Table210[[#This Row],[Task Code]],WO_Data_Masterlist[],11,FALSE)," ")</f>
        <v xml:space="preserve"> </v>
      </c>
      <c r="L56" s="9" t="str">
        <f>IFERROR(VLOOKUP(Table210[[#This Row],[Task Code]],WO_Data_Masterlist[],12,FALSE)," ")</f>
        <v xml:space="preserve"> </v>
      </c>
      <c r="M56" s="9" t="str">
        <f>IFERROR(VLOOKUP(Table210[[#This Row],[Task Code]],WO_Data_Masterlist[],13,FALSE)," ")</f>
        <v xml:space="preserve"> </v>
      </c>
      <c r="N56" s="9" t="str">
        <f>IFERROR(VLOOKUP(Table210[[#This Row],[Task Code]],WO_Data_Masterlist[],17,FALSE)," ")</f>
        <v xml:space="preserve"> </v>
      </c>
      <c r="O56" s="37" t="str">
        <f>IFERROR(((Table210[[#This Row],[Operator]]*$O$3)+(Table210[[#This Row],[Truck]]*$O$4)+(((Table210[[#This Row],[Contractor]]+Table210[[#This Row],[Equipment]]+Table210[[#This Row],[Parts &amp; Materials]])*Table210[[#This Row],[Quantity2]])*Table210[[#This Row],[Frequency Data]]))+Table210[[#This Row],[Annual Energy Cost]]," ")</f>
        <v xml:space="preserve"> </v>
      </c>
    </row>
    <row r="57" spans="2:15" x14ac:dyDescent="0.25">
      <c r="B57" s="205"/>
      <c r="C57" s="214" t="str">
        <f>IFERROR(VLOOKUP(Table210[[#This Row],[Task Code]],WO_Data_Masterlist[],2,FALSE)," ")</f>
        <v xml:space="preserve"> </v>
      </c>
      <c r="D57" s="214" t="str">
        <f>IFERROR(VLOOKUP(Table210[[#This Row],[Task Code]],WO_Data_Masterlist[],4,FALSE)," ")</f>
        <v xml:space="preserve"> </v>
      </c>
      <c r="E57" s="28" t="str">
        <f>IFERROR(VLOOKUP(Table210[[#This Row],[Task Code]],WO_Data_Masterlist[],5,FALSE)," ")</f>
        <v xml:space="preserve"> </v>
      </c>
      <c r="F57" s="28" t="str">
        <f>IFERROR(VLOOKUP(Table210[[#This Row],[Task Code]],WO_Data_Masterlist[],6,FALSE)," ")</f>
        <v xml:space="preserve"> </v>
      </c>
      <c r="G57" s="28" t="e">
        <f>VLOOKUP(Table210[[#This Row],[Task Code]],WO_Data_Masterlist[],7,FALSE)</f>
        <v>#N/A</v>
      </c>
      <c r="H57" s="28" t="e">
        <f>IF(VLOOKUP(Table210[[#This Row],[Task Code]],WO_Data_Masterlist[],15,FALSE)="N/A",1,VLOOKUP(Table210[[#This Row],[Task Code]],WO_Data_Masterlist[],15,FALSE))</f>
        <v>#N/A</v>
      </c>
      <c r="I57" s="40" t="str">
        <f>IFERROR(VLOOKUP(Table210[[#This Row],[Task Code]],WO_Data_Masterlist[],9,FALSE)*Table210[[#This Row],[Frequency Data]]*Table210[[#This Row],[Quantity2]]," ")</f>
        <v xml:space="preserve"> </v>
      </c>
      <c r="J57" s="40" t="str">
        <f>IFERROR(VLOOKUP(Table210[[#This Row],[Task Code]],WO_Data_Masterlist[],10,FALSE)*Table210[[#This Row],[Frequency Data]]*Table210[[#This Row],[Quantity2]]," ")</f>
        <v xml:space="preserve"> </v>
      </c>
      <c r="K57" s="42" t="str">
        <f>IFERROR(VLOOKUP(Table210[[#This Row],[Task Code]],WO_Data_Masterlist[],11,FALSE)," ")</f>
        <v xml:space="preserve"> </v>
      </c>
      <c r="L57" s="9" t="str">
        <f>IFERROR(VLOOKUP(Table210[[#This Row],[Task Code]],WO_Data_Masterlist[],12,FALSE)," ")</f>
        <v xml:space="preserve"> </v>
      </c>
      <c r="M57" s="9" t="str">
        <f>IFERROR(VLOOKUP(Table210[[#This Row],[Task Code]],WO_Data_Masterlist[],13,FALSE)," ")</f>
        <v xml:space="preserve"> </v>
      </c>
      <c r="N57" s="9" t="str">
        <f>IFERROR(VLOOKUP(Table210[[#This Row],[Task Code]],WO_Data_Masterlist[],17,FALSE)," ")</f>
        <v xml:space="preserve"> </v>
      </c>
      <c r="O57" s="37" t="str">
        <f>IFERROR(((Table210[[#This Row],[Operator]]*$O$3)+(Table210[[#This Row],[Truck]]*$O$4)+(((Table210[[#This Row],[Contractor]]+Table210[[#This Row],[Equipment]]+Table210[[#This Row],[Parts &amp; Materials]])*Table210[[#This Row],[Quantity2]])*Table210[[#This Row],[Frequency Data]]))+Table210[[#This Row],[Annual Energy Cost]]," ")</f>
        <v xml:space="preserve"> </v>
      </c>
    </row>
    <row r="58" spans="2:15" x14ac:dyDescent="0.25">
      <c r="B58" s="205"/>
      <c r="C58" s="214" t="str">
        <f>IFERROR(VLOOKUP(Table210[[#This Row],[Task Code]],WO_Data_Masterlist[],2,FALSE)," ")</f>
        <v xml:space="preserve"> </v>
      </c>
      <c r="D58" s="214" t="str">
        <f>IFERROR(VLOOKUP(Table210[[#This Row],[Task Code]],WO_Data_Masterlist[],4,FALSE)," ")</f>
        <v xml:space="preserve"> </v>
      </c>
      <c r="E58" s="28" t="str">
        <f>IFERROR(VLOOKUP(Table210[[#This Row],[Task Code]],WO_Data_Masterlist[],5,FALSE)," ")</f>
        <v xml:space="preserve"> </v>
      </c>
      <c r="F58" s="28" t="str">
        <f>IFERROR(VLOOKUP(Table210[[#This Row],[Task Code]],WO_Data_Masterlist[],6,FALSE)," ")</f>
        <v xml:space="preserve"> </v>
      </c>
      <c r="G58" s="28" t="e">
        <f>VLOOKUP(Table210[[#This Row],[Task Code]],WO_Data_Masterlist[],7,FALSE)</f>
        <v>#N/A</v>
      </c>
      <c r="H58" s="28" t="e">
        <f>IF(VLOOKUP(Table210[[#This Row],[Task Code]],WO_Data_Masterlist[],15,FALSE)="N/A",1,VLOOKUP(Table210[[#This Row],[Task Code]],WO_Data_Masterlist[],15,FALSE))</f>
        <v>#N/A</v>
      </c>
      <c r="I58" s="40" t="str">
        <f>IFERROR(VLOOKUP(Table210[[#This Row],[Task Code]],WO_Data_Masterlist[],9,FALSE)*Table210[[#This Row],[Frequency Data]]*Table210[[#This Row],[Quantity2]]," ")</f>
        <v xml:space="preserve"> </v>
      </c>
      <c r="J58" s="40" t="str">
        <f>IFERROR(VLOOKUP(Table210[[#This Row],[Task Code]],WO_Data_Masterlist[],10,FALSE)*Table210[[#This Row],[Frequency Data]]*Table210[[#This Row],[Quantity2]]," ")</f>
        <v xml:space="preserve"> </v>
      </c>
      <c r="K58" s="42" t="str">
        <f>IFERROR(VLOOKUP(Table210[[#This Row],[Task Code]],WO_Data_Masterlist[],11,FALSE)," ")</f>
        <v xml:space="preserve"> </v>
      </c>
      <c r="L58" s="9" t="str">
        <f>IFERROR(VLOOKUP(Table210[[#This Row],[Task Code]],WO_Data_Masterlist[],12,FALSE)," ")</f>
        <v xml:space="preserve"> </v>
      </c>
      <c r="M58" s="9" t="str">
        <f>IFERROR(VLOOKUP(Table210[[#This Row],[Task Code]],WO_Data_Masterlist[],13,FALSE)," ")</f>
        <v xml:space="preserve"> </v>
      </c>
      <c r="N58" s="9" t="str">
        <f>IFERROR(VLOOKUP(Table210[[#This Row],[Task Code]],WO_Data_Masterlist[],17,FALSE)," ")</f>
        <v xml:space="preserve"> </v>
      </c>
      <c r="O58" s="37" t="str">
        <f>IFERROR(((Table210[[#This Row],[Operator]]*$O$3)+(Table210[[#This Row],[Truck]]*$O$4)+(((Table210[[#This Row],[Contractor]]+Table210[[#This Row],[Equipment]]+Table210[[#This Row],[Parts &amp; Materials]])*Table210[[#This Row],[Quantity2]])*Table210[[#This Row],[Frequency Data]]))+Table210[[#This Row],[Annual Energy Cost]]," ")</f>
        <v xml:space="preserve"> </v>
      </c>
    </row>
    <row r="59" spans="2:15" x14ac:dyDescent="0.25">
      <c r="B59" s="205"/>
      <c r="C59" s="214" t="str">
        <f>IFERROR(VLOOKUP(Table210[[#This Row],[Task Code]],WO_Data_Masterlist[],2,FALSE)," ")</f>
        <v xml:space="preserve"> </v>
      </c>
      <c r="D59" s="214" t="str">
        <f>IFERROR(VLOOKUP(Table210[[#This Row],[Task Code]],WO_Data_Masterlist[],4,FALSE)," ")</f>
        <v xml:space="preserve"> </v>
      </c>
      <c r="E59" s="28" t="str">
        <f>IFERROR(VLOOKUP(Table210[[#This Row],[Task Code]],WO_Data_Masterlist[],5,FALSE)," ")</f>
        <v xml:space="preserve"> </v>
      </c>
      <c r="F59" s="28" t="str">
        <f>IFERROR(VLOOKUP(Table210[[#This Row],[Task Code]],WO_Data_Masterlist[],6,FALSE)," ")</f>
        <v xml:space="preserve"> </v>
      </c>
      <c r="G59" s="28" t="e">
        <f>VLOOKUP(Table210[[#This Row],[Task Code]],WO_Data_Masterlist[],7,FALSE)</f>
        <v>#N/A</v>
      </c>
      <c r="H59" s="28" t="e">
        <f>IF(VLOOKUP(Table210[[#This Row],[Task Code]],WO_Data_Masterlist[],15,FALSE)="N/A",1,VLOOKUP(Table210[[#This Row],[Task Code]],WO_Data_Masterlist[],15,FALSE))</f>
        <v>#N/A</v>
      </c>
      <c r="I59" s="40" t="str">
        <f>IFERROR(VLOOKUP(Table210[[#This Row],[Task Code]],WO_Data_Masterlist[],9,FALSE)*Table210[[#This Row],[Frequency Data]]*Table210[[#This Row],[Quantity2]]," ")</f>
        <v xml:space="preserve"> </v>
      </c>
      <c r="J59" s="40" t="str">
        <f>IFERROR(VLOOKUP(Table210[[#This Row],[Task Code]],WO_Data_Masterlist[],10,FALSE)*Table210[[#This Row],[Frequency Data]]*Table210[[#This Row],[Quantity2]]," ")</f>
        <v xml:space="preserve"> </v>
      </c>
      <c r="K59" s="42" t="str">
        <f>IFERROR(VLOOKUP(Table210[[#This Row],[Task Code]],WO_Data_Masterlist[],11,FALSE)," ")</f>
        <v xml:space="preserve"> </v>
      </c>
      <c r="L59" s="9" t="str">
        <f>IFERROR(VLOOKUP(Table210[[#This Row],[Task Code]],WO_Data_Masterlist[],12,FALSE)," ")</f>
        <v xml:space="preserve"> </v>
      </c>
      <c r="M59" s="9" t="str">
        <f>IFERROR(VLOOKUP(Table210[[#This Row],[Task Code]],WO_Data_Masterlist[],13,FALSE)," ")</f>
        <v xml:space="preserve"> </v>
      </c>
      <c r="N59" s="9" t="str">
        <f>IFERROR(VLOOKUP(Table210[[#This Row],[Task Code]],WO_Data_Masterlist[],17,FALSE)," ")</f>
        <v xml:space="preserve"> </v>
      </c>
      <c r="O59" s="37" t="str">
        <f>IFERROR(((Table210[[#This Row],[Operator]]*$O$3)+(Table210[[#This Row],[Truck]]*$O$4)+(((Table210[[#This Row],[Contractor]]+Table210[[#This Row],[Equipment]]+Table210[[#This Row],[Parts &amp; Materials]])*Table210[[#This Row],[Quantity2]])*Table210[[#This Row],[Frequency Data]]))+Table210[[#This Row],[Annual Energy Cost]]," ")</f>
        <v xml:space="preserve"> </v>
      </c>
    </row>
    <row r="60" spans="2:15" x14ac:dyDescent="0.25">
      <c r="B60" s="205"/>
      <c r="C60" s="214" t="str">
        <f>IFERROR(VLOOKUP(Table210[[#This Row],[Task Code]],WO_Data_Masterlist[],2,FALSE)," ")</f>
        <v xml:space="preserve"> </v>
      </c>
      <c r="D60" s="214" t="str">
        <f>IFERROR(VLOOKUP(Table210[[#This Row],[Task Code]],WO_Data_Masterlist[],4,FALSE)," ")</f>
        <v xml:space="preserve"> </v>
      </c>
      <c r="E60" s="28" t="str">
        <f>IFERROR(VLOOKUP(Table210[[#This Row],[Task Code]],WO_Data_Masterlist[],5,FALSE)," ")</f>
        <v xml:space="preserve"> </v>
      </c>
      <c r="F60" s="28" t="str">
        <f>IFERROR(VLOOKUP(Table210[[#This Row],[Task Code]],WO_Data_Masterlist[],6,FALSE)," ")</f>
        <v xml:space="preserve"> </v>
      </c>
      <c r="G60" s="28" t="e">
        <f>VLOOKUP(Table210[[#This Row],[Task Code]],WO_Data_Masterlist[],7,FALSE)</f>
        <v>#N/A</v>
      </c>
      <c r="H60" s="28" t="e">
        <f>IF(VLOOKUP(Table210[[#This Row],[Task Code]],WO_Data_Masterlist[],15,FALSE)="N/A",1,VLOOKUP(Table210[[#This Row],[Task Code]],WO_Data_Masterlist[],15,FALSE))</f>
        <v>#N/A</v>
      </c>
      <c r="I60" s="40" t="str">
        <f>IFERROR(VLOOKUP(Table210[[#This Row],[Task Code]],WO_Data_Masterlist[],9,FALSE)*Table210[[#This Row],[Frequency Data]]*Table210[[#This Row],[Quantity2]]," ")</f>
        <v xml:space="preserve"> </v>
      </c>
      <c r="J60" s="40" t="str">
        <f>IFERROR(VLOOKUP(Table210[[#This Row],[Task Code]],WO_Data_Masterlist[],10,FALSE)*Table210[[#This Row],[Frequency Data]]*Table210[[#This Row],[Quantity2]]," ")</f>
        <v xml:space="preserve"> </v>
      </c>
      <c r="K60" s="42" t="str">
        <f>IFERROR(VLOOKUP(Table210[[#This Row],[Task Code]],WO_Data_Masterlist[],11,FALSE)," ")</f>
        <v xml:space="preserve"> </v>
      </c>
      <c r="L60" s="9" t="str">
        <f>IFERROR(VLOOKUP(Table210[[#This Row],[Task Code]],WO_Data_Masterlist[],12,FALSE)," ")</f>
        <v xml:space="preserve"> </v>
      </c>
      <c r="M60" s="9" t="str">
        <f>IFERROR(VLOOKUP(Table210[[#This Row],[Task Code]],WO_Data_Masterlist[],13,FALSE)," ")</f>
        <v xml:space="preserve"> </v>
      </c>
      <c r="N60" s="9" t="str">
        <f>IFERROR(VLOOKUP(Table210[[#This Row],[Task Code]],WO_Data_Masterlist[],17,FALSE)," ")</f>
        <v xml:space="preserve"> </v>
      </c>
      <c r="O60" s="37" t="str">
        <f>IFERROR(((Table210[[#This Row],[Operator]]*$O$3)+(Table210[[#This Row],[Truck]]*$O$4)+(((Table210[[#This Row],[Contractor]]+Table210[[#This Row],[Equipment]]+Table210[[#This Row],[Parts &amp; Materials]])*Table210[[#This Row],[Quantity2]])*Table210[[#This Row],[Frequency Data]]))+Table210[[#This Row],[Annual Energy Cost]]," ")</f>
        <v xml:space="preserve"> </v>
      </c>
    </row>
    <row r="61" spans="2:15" x14ac:dyDescent="0.25">
      <c r="B61" s="205"/>
      <c r="C61" s="214" t="str">
        <f>IFERROR(VLOOKUP(Table210[[#This Row],[Task Code]],WO_Data_Masterlist[],2,FALSE)," ")</f>
        <v xml:space="preserve"> </v>
      </c>
      <c r="D61" s="214" t="str">
        <f>IFERROR(VLOOKUP(Table210[[#This Row],[Task Code]],WO_Data_Masterlist[],4,FALSE)," ")</f>
        <v xml:space="preserve"> </v>
      </c>
      <c r="E61" s="28" t="str">
        <f>IFERROR(VLOOKUP(Table210[[#This Row],[Task Code]],WO_Data_Masterlist[],5,FALSE)," ")</f>
        <v xml:space="preserve"> </v>
      </c>
      <c r="F61" s="28" t="str">
        <f>IFERROR(VLOOKUP(Table210[[#This Row],[Task Code]],WO_Data_Masterlist[],6,FALSE)," ")</f>
        <v xml:space="preserve"> </v>
      </c>
      <c r="G61" s="28" t="e">
        <f>VLOOKUP(Table210[[#This Row],[Task Code]],WO_Data_Masterlist[],7,FALSE)</f>
        <v>#N/A</v>
      </c>
      <c r="H61" s="28" t="e">
        <f>IF(VLOOKUP(Table210[[#This Row],[Task Code]],WO_Data_Masterlist[],15,FALSE)="N/A",1,VLOOKUP(Table210[[#This Row],[Task Code]],WO_Data_Masterlist[],15,FALSE))</f>
        <v>#N/A</v>
      </c>
      <c r="I61" s="40" t="str">
        <f>IFERROR(VLOOKUP(Table210[[#This Row],[Task Code]],WO_Data_Masterlist[],9,FALSE)*Table210[[#This Row],[Frequency Data]]*Table210[[#This Row],[Quantity2]]," ")</f>
        <v xml:space="preserve"> </v>
      </c>
      <c r="J61" s="40" t="str">
        <f>IFERROR(VLOOKUP(Table210[[#This Row],[Task Code]],WO_Data_Masterlist[],10,FALSE)*Table210[[#This Row],[Frequency Data]]*Table210[[#This Row],[Quantity2]]," ")</f>
        <v xml:space="preserve"> </v>
      </c>
      <c r="K61" s="42" t="str">
        <f>IFERROR(VLOOKUP(Table210[[#This Row],[Task Code]],WO_Data_Masterlist[],11,FALSE)," ")</f>
        <v xml:space="preserve"> </v>
      </c>
      <c r="L61" s="9" t="str">
        <f>IFERROR(VLOOKUP(Table210[[#This Row],[Task Code]],WO_Data_Masterlist[],12,FALSE)," ")</f>
        <v xml:space="preserve"> </v>
      </c>
      <c r="M61" s="9" t="str">
        <f>IFERROR(VLOOKUP(Table210[[#This Row],[Task Code]],WO_Data_Masterlist[],13,FALSE)," ")</f>
        <v xml:space="preserve"> </v>
      </c>
      <c r="N61" s="9" t="str">
        <f>IFERROR(VLOOKUP(Table210[[#This Row],[Task Code]],WO_Data_Masterlist[],17,FALSE)," ")</f>
        <v xml:space="preserve"> </v>
      </c>
      <c r="O61" s="37" t="str">
        <f>IFERROR(((Table210[[#This Row],[Operator]]*$O$3)+(Table210[[#This Row],[Truck]]*$O$4)+(((Table210[[#This Row],[Contractor]]+Table210[[#This Row],[Equipment]]+Table210[[#This Row],[Parts &amp; Materials]])*Table210[[#This Row],[Quantity2]])*Table210[[#This Row],[Frequency Data]]))+Table210[[#This Row],[Annual Energy Cost]]," ")</f>
        <v xml:space="preserve"> </v>
      </c>
    </row>
    <row r="65" spans="2:6" x14ac:dyDescent="0.25">
      <c r="B65" s="45"/>
      <c r="C65" s="45"/>
      <c r="D65" s="45"/>
      <c r="E65" s="45"/>
      <c r="F65" s="45"/>
    </row>
    <row r="66" spans="2:6" x14ac:dyDescent="0.25">
      <c r="B66" s="45"/>
      <c r="C66" s="45"/>
      <c r="D66" s="25"/>
      <c r="E66" s="45"/>
      <c r="F66" s="45"/>
    </row>
    <row r="67" spans="2:6" x14ac:dyDescent="0.25">
      <c r="B67" s="45"/>
      <c r="C67" s="25"/>
      <c r="D67" s="25"/>
      <c r="E67" s="25"/>
      <c r="F67" s="45"/>
    </row>
    <row r="68" spans="2:6" x14ac:dyDescent="0.25">
      <c r="B68" s="45"/>
      <c r="C68" s="25"/>
      <c r="D68" s="211"/>
      <c r="E68" s="25"/>
      <c r="F68" s="45"/>
    </row>
    <row r="69" spans="2:6" x14ac:dyDescent="0.25">
      <c r="B69" s="45"/>
      <c r="C69" s="25"/>
      <c r="D69" s="211"/>
      <c r="E69" s="25"/>
      <c r="F69" s="45"/>
    </row>
    <row r="70" spans="2:6" x14ac:dyDescent="0.25">
      <c r="B70" s="45"/>
      <c r="C70" s="25"/>
      <c r="D70" s="25"/>
      <c r="E70" s="25"/>
      <c r="F70" s="45"/>
    </row>
    <row r="71" spans="2:6" x14ac:dyDescent="0.25">
      <c r="B71" s="45"/>
      <c r="C71" s="25"/>
      <c r="D71" s="25"/>
      <c r="E71" s="25"/>
      <c r="F71" s="45"/>
    </row>
    <row r="72" spans="2:6" x14ac:dyDescent="0.25">
      <c r="B72" s="45"/>
      <c r="C72" s="25"/>
      <c r="D72" s="45"/>
      <c r="E72" s="25"/>
      <c r="F72" s="45"/>
    </row>
    <row r="73" spans="2:6" x14ac:dyDescent="0.25">
      <c r="B73" s="45"/>
      <c r="C73" s="25"/>
      <c r="D73" s="45"/>
      <c r="E73" s="25"/>
      <c r="F73" s="45"/>
    </row>
    <row r="74" spans="2:6" x14ac:dyDescent="0.25">
      <c r="B74" s="45"/>
      <c r="C74" s="25"/>
      <c r="D74" s="45"/>
      <c r="E74" s="25"/>
      <c r="F74" s="45"/>
    </row>
    <row r="75" spans="2:6" x14ac:dyDescent="0.25">
      <c r="B75" s="45"/>
      <c r="C75" s="25"/>
      <c r="D75" s="45"/>
      <c r="E75" s="25"/>
      <c r="F75" s="45"/>
    </row>
    <row r="76" spans="2:6" ht="18.75" x14ac:dyDescent="0.25">
      <c r="B76" s="45"/>
      <c r="C76" s="197"/>
      <c r="D76" s="45"/>
      <c r="E76" s="25"/>
      <c r="F76" s="45"/>
    </row>
    <row r="77" spans="2:6" x14ac:dyDescent="0.25">
      <c r="B77" s="45"/>
      <c r="C77" s="25"/>
      <c r="D77" s="45"/>
      <c r="E77" s="25"/>
      <c r="F77" s="45"/>
    </row>
    <row r="78" spans="2:6" x14ac:dyDescent="0.25">
      <c r="B78" s="45"/>
      <c r="C78" s="25"/>
      <c r="D78" s="45"/>
      <c r="E78" s="25"/>
      <c r="F78" s="45"/>
    </row>
    <row r="79" spans="2:6" x14ac:dyDescent="0.25">
      <c r="B79" s="45"/>
      <c r="C79" s="25"/>
      <c r="D79" s="25"/>
      <c r="E79" s="25"/>
      <c r="F79" s="45"/>
    </row>
    <row r="80" spans="2:6" x14ac:dyDescent="0.25">
      <c r="B80" s="45"/>
      <c r="C80" s="25"/>
      <c r="D80" s="25"/>
      <c r="E80" s="25"/>
      <c r="F80" s="45"/>
    </row>
    <row r="81" spans="2:6" x14ac:dyDescent="0.25">
      <c r="B81" s="45"/>
      <c r="C81" s="45"/>
      <c r="D81" s="45"/>
      <c r="E81" s="45"/>
      <c r="F81" s="45"/>
    </row>
  </sheetData>
  <mergeCells count="4">
    <mergeCell ref="K2:K3"/>
    <mergeCell ref="I17:J17"/>
    <mergeCell ref="B17:F17"/>
    <mergeCell ref="K17:M17"/>
  </mergeCells>
  <phoneticPr fontId="10" type="noConversion"/>
  <hyperlinks>
    <hyperlink ref="K2:K3" location="'TABLE OF CONTENTS'!A1" display="Return to Table of Contents" xr:uid="{CA5F6374-1C79-48D5-A0EA-D33649194876}"/>
  </hyperlinks>
  <pageMargins left="0.7" right="0.7" top="0.75" bottom="0.75" header="0.3" footer="0.3"/>
  <pageSetup scale="54" orientation="landscape" horizontalDpi="1200" verticalDpi="12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652C2-8BF8-48F8-9D3E-6F0E5B00ED17}">
  <sheetPr>
    <pageSetUpPr fitToPage="1"/>
  </sheetPr>
  <dimension ref="A2:S100"/>
  <sheetViews>
    <sheetView zoomScale="75" zoomScaleNormal="75" workbookViewId="0">
      <selection activeCell="N18" sqref="N18:O18"/>
    </sheetView>
  </sheetViews>
  <sheetFormatPr defaultColWidth="9.140625" defaultRowHeight="15" x14ac:dyDescent="0.25"/>
  <cols>
    <col min="1" max="1" width="17.140625" style="320" customWidth="1"/>
    <col min="2" max="2" width="21.5703125" style="320" customWidth="1"/>
    <col min="3" max="3" width="20.5703125" style="320" customWidth="1"/>
    <col min="4" max="4" width="25.85546875" style="320" bestFit="1" customWidth="1"/>
    <col min="5" max="5" width="53.42578125" style="320" customWidth="1"/>
    <col min="6" max="6" width="14" style="320" bestFit="1" customWidth="1"/>
    <col min="7" max="7" width="20.85546875" style="320" bestFit="1" customWidth="1"/>
    <col min="8" max="8" width="19.42578125" style="320" customWidth="1"/>
    <col min="9" max="9" width="16.7109375" style="320" customWidth="1"/>
    <col min="10" max="10" width="16" style="320" bestFit="1" customWidth="1"/>
    <col min="11" max="11" width="14.85546875" style="320" customWidth="1"/>
    <col min="12" max="12" width="14.140625" style="320" bestFit="1" customWidth="1"/>
    <col min="13" max="14" width="16.42578125" style="320" customWidth="1"/>
    <col min="15" max="15" width="16.42578125" style="321" customWidth="1"/>
    <col min="16" max="16" width="16.42578125" style="322" customWidth="1"/>
    <col min="17" max="17" width="16.42578125" style="321" customWidth="1"/>
    <col min="18" max="18" width="9.140625" style="320"/>
    <col min="19" max="19" width="25.28515625" style="320" bestFit="1" customWidth="1"/>
    <col min="20" max="16384" width="9.140625" style="320"/>
  </cols>
  <sheetData>
    <row r="2" spans="1:17" ht="15.75" thickBot="1" x14ac:dyDescent="0.3">
      <c r="D2" s="467" t="s">
        <v>130</v>
      </c>
      <c r="E2" s="323"/>
    </row>
    <row r="3" spans="1:17" x14ac:dyDescent="0.25">
      <c r="D3" s="468"/>
      <c r="E3" s="323"/>
      <c r="F3" s="324"/>
      <c r="L3" s="469" t="s">
        <v>268</v>
      </c>
      <c r="M3" s="470"/>
    </row>
    <row r="4" spans="1:17" x14ac:dyDescent="0.25">
      <c r="L4" s="325" t="s">
        <v>178</v>
      </c>
      <c r="M4" s="326">
        <f>'TABLE OF CONTENTS'!K15</f>
        <v>31</v>
      </c>
    </row>
    <row r="5" spans="1:17" ht="15.75" thickBot="1" x14ac:dyDescent="0.3">
      <c r="L5" s="327" t="s">
        <v>1</v>
      </c>
      <c r="M5" s="328">
        <f>'TABLE OF CONTENTS'!K16</f>
        <v>16.466620689655173</v>
      </c>
    </row>
    <row r="10" spans="1:17" x14ac:dyDescent="0.25">
      <c r="K10" s="329"/>
      <c r="L10" s="329"/>
      <c r="M10" s="329"/>
    </row>
    <row r="11" spans="1:17" x14ac:dyDescent="0.25">
      <c r="K11" s="329"/>
      <c r="L11" s="329"/>
      <c r="M11" s="329"/>
    </row>
    <row r="12" spans="1:17" x14ac:dyDescent="0.25">
      <c r="K12" s="329"/>
      <c r="L12" s="329"/>
      <c r="M12" s="329"/>
    </row>
    <row r="13" spans="1:17" x14ac:dyDescent="0.25">
      <c r="A13" s="320" t="s">
        <v>8</v>
      </c>
      <c r="K13" s="329"/>
      <c r="L13" s="329"/>
      <c r="M13" s="329"/>
    </row>
    <row r="14" spans="1:17" ht="15.75" x14ac:dyDescent="0.25">
      <c r="A14" s="330" t="s">
        <v>131</v>
      </c>
      <c r="K14" s="329"/>
      <c r="L14" s="329"/>
      <c r="M14" s="329"/>
    </row>
    <row r="16" spans="1:17" x14ac:dyDescent="0.25">
      <c r="A16" s="320">
        <v>1</v>
      </c>
      <c r="B16" s="320">
        <v>2</v>
      </c>
      <c r="C16" s="320">
        <v>3</v>
      </c>
      <c r="D16" s="320">
        <v>4</v>
      </c>
      <c r="E16" s="320">
        <v>5</v>
      </c>
      <c r="F16" s="320">
        <v>6</v>
      </c>
      <c r="G16" s="320">
        <v>7</v>
      </c>
      <c r="H16" s="320">
        <v>8</v>
      </c>
      <c r="I16" s="320">
        <v>9</v>
      </c>
      <c r="J16" s="320">
        <v>10</v>
      </c>
      <c r="K16" s="320">
        <v>11</v>
      </c>
      <c r="L16" s="320">
        <v>12</v>
      </c>
      <c r="M16" s="320">
        <v>13</v>
      </c>
      <c r="N16" s="320">
        <v>14</v>
      </c>
      <c r="O16" s="321">
        <v>15</v>
      </c>
      <c r="P16" s="321">
        <v>16</v>
      </c>
      <c r="Q16" s="321">
        <v>17</v>
      </c>
    </row>
    <row r="17" spans="1:19" ht="60" x14ac:dyDescent="0.25">
      <c r="A17" s="331" t="s">
        <v>0</v>
      </c>
      <c r="B17" s="331" t="s">
        <v>5</v>
      </c>
      <c r="C17" s="331" t="s">
        <v>6</v>
      </c>
      <c r="D17" s="331" t="s">
        <v>7</v>
      </c>
      <c r="E17" s="332" t="s">
        <v>132</v>
      </c>
      <c r="F17" s="332" t="s">
        <v>179</v>
      </c>
      <c r="G17" s="332" t="s">
        <v>133</v>
      </c>
      <c r="H17" s="332" t="s">
        <v>190</v>
      </c>
      <c r="I17" s="332" t="s">
        <v>472</v>
      </c>
      <c r="J17" s="332" t="s">
        <v>189</v>
      </c>
      <c r="K17" s="332" t="s">
        <v>191</v>
      </c>
      <c r="L17" s="331" t="s">
        <v>139</v>
      </c>
      <c r="M17" s="332" t="s">
        <v>140</v>
      </c>
      <c r="N17" s="332" t="s">
        <v>378</v>
      </c>
      <c r="O17" s="333" t="s">
        <v>379</v>
      </c>
      <c r="P17" s="334" t="s">
        <v>363</v>
      </c>
      <c r="Q17" s="333" t="s">
        <v>362</v>
      </c>
      <c r="R17" s="331" t="s">
        <v>444</v>
      </c>
      <c r="S17" s="331" t="s">
        <v>511</v>
      </c>
    </row>
    <row r="18" spans="1:19" x14ac:dyDescent="0.25">
      <c r="A18" s="368" t="s">
        <v>35</v>
      </c>
      <c r="B18" s="368" t="s">
        <v>34</v>
      </c>
      <c r="C18" s="368" t="s">
        <v>112</v>
      </c>
      <c r="D18" s="368" t="s">
        <v>102</v>
      </c>
      <c r="E18" s="368" t="s">
        <v>331</v>
      </c>
      <c r="F18" s="335" t="s">
        <v>182</v>
      </c>
      <c r="G18" s="335">
        <v>11</v>
      </c>
      <c r="H18" s="336" t="s">
        <v>192</v>
      </c>
      <c r="I18" s="337">
        <f>'ii. WO Linear Infr. Mnt Hours'!G44</f>
        <v>54</v>
      </c>
      <c r="J18" s="338">
        <f>WO_Data_Masterlist[[#This Row],[OPERATOR HOURS per TASK]]</f>
        <v>54</v>
      </c>
      <c r="K18" s="339">
        <v>0</v>
      </c>
      <c r="L18" s="339">
        <f>'ii. WO Linear Infr. Mnt Hours'!L44</f>
        <v>50</v>
      </c>
      <c r="M18" s="339">
        <f>'ii. WO Linear Infr. Mnt Hours'!M44</f>
        <v>50</v>
      </c>
      <c r="N18" s="340">
        <f>SUM(Watermain_Inventory[LENGTH (m)])/1000</f>
        <v>10</v>
      </c>
      <c r="O18" s="341" t="str">
        <f>IFERROR(GETPIVOTDATA("ASSET GROUP",'TABLE OF CONTENTS'!$P$20,"ASSET COMPONENT",WO_Data_Masterlist[[#This Row],[ASSET COMPONENT]]), "N/A")</f>
        <v>N/A</v>
      </c>
      <c r="P18" s="342">
        <v>0</v>
      </c>
      <c r="Q18" s="343">
        <f>IFERROR(WO_Data_Masterlist[[#This Row],[ANNUAL ENERGY PER UNIT]]*WO_Data_Masterlist[[#This Row],[QUANTITY NON-LINEAR INFRASTRUCTURE]], 0)</f>
        <v>0</v>
      </c>
      <c r="R18" s="373" t="str">
        <f>IF(SUM(WO_Data_Masterlist[[#This Row],[QUANTITY LINEAR INFRASTRUCTURE]:[QUANTITY NON-LINEAR INFRASTRUCTURE]])&gt;0, "YES", "NO")</f>
        <v>YES</v>
      </c>
      <c r="S18" s="373">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2929.5172689655174</v>
      </c>
    </row>
    <row r="19" spans="1:19" s="346" customFormat="1" x14ac:dyDescent="0.25">
      <c r="A19" s="368" t="s">
        <v>36</v>
      </c>
      <c r="B19" s="368" t="s">
        <v>34</v>
      </c>
      <c r="C19" s="368" t="s">
        <v>112</v>
      </c>
      <c r="D19" s="368" t="s">
        <v>102</v>
      </c>
      <c r="E19" s="368" t="s">
        <v>327</v>
      </c>
      <c r="F19" s="335" t="s">
        <v>180</v>
      </c>
      <c r="G19" s="335">
        <v>1</v>
      </c>
      <c r="H19" s="336" t="s">
        <v>192</v>
      </c>
      <c r="I19" s="337">
        <f>'ii. WO Linear Infr. Mnt Hours'!G51</f>
        <v>49</v>
      </c>
      <c r="J19" s="344">
        <f>WO_Data_Masterlist[[#This Row],[OPERATOR HOURS per TASK]]</f>
        <v>49</v>
      </c>
      <c r="K19" s="345">
        <v>0</v>
      </c>
      <c r="L19" s="339">
        <f>'ii. WO Linear Infr. Mnt Hours'!L51</f>
        <v>50</v>
      </c>
      <c r="M19" s="339">
        <f>'ii. WO Linear Infr. Mnt Hours'!M51</f>
        <v>150</v>
      </c>
      <c r="N19" s="340">
        <f>'ii. WO Linear Infr. Mnt Hours'!M14</f>
        <v>120</v>
      </c>
      <c r="O19" s="341" t="str">
        <f>IFERROR(GETPIVOTDATA("ASSET GROUP",'TABLE OF CONTENTS'!$P$20,"ASSET COMPONENT",WO_Data_Masterlist[[#This Row],[ASSET COMPONENT]]), "N/A")</f>
        <v>N/A</v>
      </c>
      <c r="P19" s="342">
        <v>0</v>
      </c>
      <c r="Q19" s="343">
        <f>IFERROR(WO_Data_Masterlist[[#This Row],[ANNUAL ENERGY PER UNIT]]*WO_Data_Masterlist[[#This Row],[QUANTITY NON-LINEAR INFRASTRUCTURE]], 0)</f>
        <v>0</v>
      </c>
      <c r="R19" s="373" t="str">
        <f>IF(SUM(WO_Data_Masterlist[[#This Row],[QUANTITY LINEAR INFRASTRUCTURE]:[QUANTITY NON-LINEAR INFRASTRUCTURE]])&gt;0, "YES", "NO")</f>
        <v>YES</v>
      </c>
      <c r="S19" s="373">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21.048870114942527</v>
      </c>
    </row>
    <row r="20" spans="1:19" s="346" customFormat="1" x14ac:dyDescent="0.25">
      <c r="A20" s="369" t="s">
        <v>37</v>
      </c>
      <c r="B20" s="368" t="s">
        <v>34</v>
      </c>
      <c r="C20" s="368" t="s">
        <v>112</v>
      </c>
      <c r="D20" s="368" t="s">
        <v>102</v>
      </c>
      <c r="E20" s="368" t="s">
        <v>365</v>
      </c>
      <c r="F20" s="335" t="s">
        <v>180</v>
      </c>
      <c r="G20" s="335">
        <v>1</v>
      </c>
      <c r="H20" s="336" t="s">
        <v>192</v>
      </c>
      <c r="I20" s="337">
        <f>'ii. WO Linear Infr. Mnt Hours'!G58</f>
        <v>101</v>
      </c>
      <c r="J20" s="344">
        <f>WO_Data_Masterlist[[#This Row],[OPERATOR HOURS per TASK]]</f>
        <v>101</v>
      </c>
      <c r="K20" s="345">
        <v>0</v>
      </c>
      <c r="L20" s="339">
        <f>'ii. WO Linear Infr. Mnt Hours'!L58</f>
        <v>100</v>
      </c>
      <c r="M20" s="339">
        <f>'ii. WO Linear Infr. Mnt Hours'!M58</f>
        <v>50</v>
      </c>
      <c r="N20" s="340">
        <f>SUM(Watermain_Inventory[LENGTH (m)])/1000</f>
        <v>10</v>
      </c>
      <c r="O20" s="341" t="str">
        <f>IFERROR(GETPIVOTDATA("ASSET GROUP",'TABLE OF CONTENTS'!$P$20,"ASSET COMPONENT",WO_Data_Masterlist[[#This Row],[ASSET COMPONENT]]), "N/A")</f>
        <v>N/A</v>
      </c>
      <c r="P20" s="342">
        <v>0</v>
      </c>
      <c r="Q20" s="347">
        <f>IFERROR(WO_Data_Masterlist[[#This Row],[ANNUAL ENERGY PER UNIT]]*WO_Data_Masterlist[[#This Row],[QUANTITY NON-LINEAR INFRASTRUCTURE]], 0)</f>
        <v>0</v>
      </c>
      <c r="R20" s="373" t="str">
        <f>IF(SUM(WO_Data_Masterlist[[#This Row],[QUANTITY LINEAR INFRASTRUCTURE]:[QUANTITY NON-LINEAR INFRASTRUCTURE]])&gt;0, "YES", "NO")</f>
        <v>YES</v>
      </c>
      <c r="S20" s="373">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494.41286896551719</v>
      </c>
    </row>
    <row r="21" spans="1:19" s="346" customFormat="1" x14ac:dyDescent="0.25">
      <c r="A21" s="369" t="s">
        <v>38</v>
      </c>
      <c r="B21" s="368" t="s">
        <v>34</v>
      </c>
      <c r="C21" s="368" t="s">
        <v>112</v>
      </c>
      <c r="D21" s="368" t="s">
        <v>102</v>
      </c>
      <c r="E21" s="368" t="s">
        <v>330</v>
      </c>
      <c r="F21" s="335" t="s">
        <v>180</v>
      </c>
      <c r="G21" s="335">
        <v>1</v>
      </c>
      <c r="H21" s="336" t="s">
        <v>192</v>
      </c>
      <c r="I21" s="337">
        <f>'ii. WO Linear Infr. Mnt Hours'!G66</f>
        <v>35</v>
      </c>
      <c r="J21" s="344">
        <f>WO_Data_Masterlist[[#This Row],[OPERATOR HOURS per TASK]]</f>
        <v>35</v>
      </c>
      <c r="K21" s="345">
        <v>0</v>
      </c>
      <c r="L21" s="339">
        <f>'ii. WO Linear Infr. Mnt Hours'!L58</f>
        <v>100</v>
      </c>
      <c r="M21" s="339">
        <f>'ii. WO Linear Infr. Mnt Hours'!M58</f>
        <v>50</v>
      </c>
      <c r="N21" s="340">
        <f>'ii. WO Linear Infr. Mnt Hours'!M13</f>
        <v>50</v>
      </c>
      <c r="O21" s="341" t="str">
        <f>IFERROR(GETPIVOTDATA("ASSET GROUP",'TABLE OF CONTENTS'!$P$20,"ASSET COMPONENT",WO_Data_Masterlist[[#This Row],[ASSET COMPONENT]]), "N/A")</f>
        <v>N/A</v>
      </c>
      <c r="P21" s="342">
        <v>0</v>
      </c>
      <c r="Q21" s="343">
        <f>IFERROR(WO_Data_Masterlist[[#This Row],[ANNUAL ENERGY PER UNIT]]*WO_Data_Masterlist[[#This Row],[QUANTITY NON-LINEAR INFRASTRUCTURE]], 0)</f>
        <v>0</v>
      </c>
      <c r="R21" s="373" t="str">
        <f>IF(SUM(WO_Data_Masterlist[[#This Row],[QUANTITY LINEAR INFRASTRUCTURE]:[QUANTITY NON-LINEAR INFRASTRUCTURE]])&gt;0, "YES", "NO")</f>
        <v>YES</v>
      </c>
      <c r="S21" s="373">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36.22663448275862</v>
      </c>
    </row>
    <row r="22" spans="1:19" x14ac:dyDescent="0.25">
      <c r="A22" s="370" t="s">
        <v>326</v>
      </c>
      <c r="B22" s="370" t="s">
        <v>34</v>
      </c>
      <c r="C22" s="370" t="s">
        <v>109</v>
      </c>
      <c r="D22" s="370" t="s">
        <v>114</v>
      </c>
      <c r="E22" s="370" t="s">
        <v>329</v>
      </c>
      <c r="F22" s="320" t="s">
        <v>180</v>
      </c>
      <c r="G22" s="320">
        <v>1</v>
      </c>
      <c r="H22" s="348" t="s">
        <v>192</v>
      </c>
      <c r="I22" s="349">
        <v>0</v>
      </c>
      <c r="J22" s="350">
        <f>WO_Data_Masterlist[[#This Row],[OPERATOR HOURS per TASK]]</f>
        <v>0</v>
      </c>
      <c r="K22" s="351">
        <v>1000</v>
      </c>
      <c r="L22" s="352">
        <v>0</v>
      </c>
      <c r="M22" s="352">
        <v>0</v>
      </c>
      <c r="N22" s="340">
        <f>'ii. WO Linear Infr. Mnt Hours'!M16</f>
        <v>0</v>
      </c>
      <c r="O22" s="341" t="str">
        <f>IFERROR(GETPIVOTDATA("ASSET GROUP",'TABLE OF CONTENTS'!$P$20,"ASSET COMPONENT",WO_Data_Masterlist[[#This Row],[ASSET COMPONENT]]), "N/A")</f>
        <v>N/A</v>
      </c>
      <c r="P22" s="322">
        <v>0</v>
      </c>
      <c r="Q22" s="347">
        <f>IFERROR(WO_Data_Masterlist[[#This Row],[ANNUAL ENERGY PER UNIT]]*WO_Data_Masterlist[[#This Row],[QUANTITY NON-LINEAR INFRASTRUCTURE]], 0)</f>
        <v>0</v>
      </c>
      <c r="R22" s="374" t="str">
        <f>IF(SUM(WO_Data_Masterlist[[#This Row],[QUANTITY LINEAR INFRASTRUCTURE]:[QUANTITY NON-LINEAR INFRASTRUCTURE]])&gt;0, "YES", "NO")</f>
        <v>NO</v>
      </c>
      <c r="S2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23" spans="1:19" x14ac:dyDescent="0.25">
      <c r="A23" s="371" t="s">
        <v>328</v>
      </c>
      <c r="B23" s="370" t="s">
        <v>34</v>
      </c>
      <c r="C23" s="370" t="s">
        <v>109</v>
      </c>
      <c r="D23" s="370" t="s">
        <v>114</v>
      </c>
      <c r="E23" s="370" t="s">
        <v>48</v>
      </c>
      <c r="F23" s="320" t="s">
        <v>181</v>
      </c>
      <c r="G23" s="320">
        <v>52</v>
      </c>
      <c r="H23" s="348" t="s">
        <v>192</v>
      </c>
      <c r="I23" s="349">
        <v>1</v>
      </c>
      <c r="J23" s="354">
        <v>0.5</v>
      </c>
      <c r="K23" s="351">
        <v>0</v>
      </c>
      <c r="L23" s="352">
        <v>0</v>
      </c>
      <c r="M23" s="352">
        <v>0</v>
      </c>
      <c r="N23" s="340">
        <f>'ii. WO Linear Infr. Mnt Hours'!M16</f>
        <v>0</v>
      </c>
      <c r="O23" s="341" t="str">
        <f>IFERROR(GETPIVOTDATA("ASSET GROUP",'TABLE OF CONTENTS'!$P$20,"ASSET COMPONENT",WO_Data_Masterlist[[#This Row],[ASSET COMPONENT]]), "N/A")</f>
        <v>N/A</v>
      </c>
      <c r="P23" s="322">
        <v>0</v>
      </c>
      <c r="Q23" s="347">
        <f>IFERROR(WO_Data_Masterlist[[#This Row],[ANNUAL ENERGY PER UNIT]]*WO_Data_Masterlist[[#This Row],[QUANTITY NON-LINEAR INFRASTRUCTURE]], 0)</f>
        <v>0</v>
      </c>
      <c r="R23" s="374" t="str">
        <f>IF(SUM(WO_Data_Masterlist[[#This Row],[QUANTITY LINEAR INFRASTRUCTURE]:[QUANTITY NON-LINEAR INFRASTRUCTURE]])&gt;0, "YES", "NO")</f>
        <v>NO</v>
      </c>
      <c r="S2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24" spans="1:19" x14ac:dyDescent="0.25">
      <c r="A24" s="370" t="s">
        <v>400</v>
      </c>
      <c r="B24" s="370" t="s">
        <v>34</v>
      </c>
      <c r="C24" s="370" t="s">
        <v>112</v>
      </c>
      <c r="D24" s="370" t="s">
        <v>102</v>
      </c>
      <c r="E24" s="370" t="s">
        <v>407</v>
      </c>
      <c r="F24" s="320" t="s">
        <v>414</v>
      </c>
      <c r="G24" s="355">
        <v>0</v>
      </c>
      <c r="H24" s="348" t="s">
        <v>192</v>
      </c>
      <c r="I24" s="349">
        <v>8</v>
      </c>
      <c r="J24" s="354">
        <v>0.5</v>
      </c>
      <c r="K24" s="351">
        <v>0</v>
      </c>
      <c r="L24" s="352">
        <v>0</v>
      </c>
      <c r="M24" s="352">
        <v>0</v>
      </c>
      <c r="N24" s="340">
        <f>SUM(Watermain_Inventory[LENGTH (m)])/1000</f>
        <v>10</v>
      </c>
      <c r="O24" s="341" t="str">
        <f>IFERROR(GETPIVOTDATA("ASSET GROUP",'TABLE OF CONTENTS'!$P$20,"ASSET COMPONENT",WO_Data_Masterlist[[#This Row],[ASSET COMPONENT]]), "N/A")</f>
        <v>N/A</v>
      </c>
      <c r="P24" s="322">
        <v>0</v>
      </c>
      <c r="Q24" s="347">
        <f>IFERROR(WO_Data_Masterlist[[#This Row],[ANNUAL ENERGY PER UNIT]]*WO_Data_Masterlist[[#This Row],[QUANTITY NON-LINEAR INFRASTRUCTURE]], 0)</f>
        <v>0</v>
      </c>
      <c r="R24" s="374" t="str">
        <f>IF(SUM(WO_Data_Masterlist[[#This Row],[QUANTITY LINEAR INFRASTRUCTURE]:[QUANTITY NON-LINEAR INFRASTRUCTURE]])&gt;0, "YES", "NO")</f>
        <v>YES</v>
      </c>
      <c r="S2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25" spans="1:19" x14ac:dyDescent="0.25">
      <c r="A25" s="371" t="s">
        <v>401</v>
      </c>
      <c r="B25" s="370" t="s">
        <v>34</v>
      </c>
      <c r="C25" s="370" t="s">
        <v>112</v>
      </c>
      <c r="D25" s="370" t="s">
        <v>102</v>
      </c>
      <c r="E25" s="370" t="s">
        <v>410</v>
      </c>
      <c r="F25" s="320" t="s">
        <v>185</v>
      </c>
      <c r="G25" s="355">
        <v>0</v>
      </c>
      <c r="H25" s="348" t="s">
        <v>192</v>
      </c>
      <c r="I25" s="349">
        <v>4</v>
      </c>
      <c r="J25" s="354">
        <v>0</v>
      </c>
      <c r="K25" s="351">
        <v>0</v>
      </c>
      <c r="L25" s="352">
        <v>0</v>
      </c>
      <c r="M25" s="352">
        <v>50</v>
      </c>
      <c r="N25" s="340">
        <f>SUM(Watermain_Inventory[LENGTH (m)])/1000</f>
        <v>10</v>
      </c>
      <c r="O25" s="341" t="str">
        <f>IFERROR(GETPIVOTDATA("ASSET GROUP",'TABLE OF CONTENTS'!$P$20,"ASSET COMPONENT",WO_Data_Masterlist[[#This Row],[ASSET COMPONENT]]), "N/A")</f>
        <v>N/A</v>
      </c>
      <c r="P25" s="322">
        <v>0</v>
      </c>
      <c r="Q25" s="347">
        <f>IFERROR(WO_Data_Masterlist[[#This Row],[ANNUAL ENERGY PER UNIT]]*WO_Data_Masterlist[[#This Row],[QUANTITY NON-LINEAR INFRASTRUCTURE]], 0)</f>
        <v>0</v>
      </c>
      <c r="R25" s="374" t="str">
        <f>IF(SUM(WO_Data_Masterlist[[#This Row],[QUANTITY LINEAR INFRASTRUCTURE]:[QUANTITY NON-LINEAR INFRASTRUCTURE]])&gt;0, "YES", "NO")</f>
        <v>YES</v>
      </c>
      <c r="S2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26" spans="1:19" x14ac:dyDescent="0.25">
      <c r="A26" s="370" t="s">
        <v>402</v>
      </c>
      <c r="B26" s="370" t="s">
        <v>34</v>
      </c>
      <c r="C26" s="370" t="s">
        <v>112</v>
      </c>
      <c r="D26" s="370" t="s">
        <v>102</v>
      </c>
      <c r="E26" s="370" t="s">
        <v>411</v>
      </c>
      <c r="F26" s="320" t="s">
        <v>185</v>
      </c>
      <c r="G26" s="355">
        <v>0</v>
      </c>
      <c r="H26" s="348" t="s">
        <v>192</v>
      </c>
      <c r="I26" s="349">
        <v>4</v>
      </c>
      <c r="J26" s="354">
        <v>0</v>
      </c>
      <c r="K26" s="351">
        <v>0</v>
      </c>
      <c r="L26" s="352">
        <v>0</v>
      </c>
      <c r="M26" s="352">
        <v>25</v>
      </c>
      <c r="N26" s="340">
        <f>SUM(Watermain_Inventory[LENGTH (m)])/1000</f>
        <v>10</v>
      </c>
      <c r="O26" s="341" t="str">
        <f>IFERROR(GETPIVOTDATA("ASSET GROUP",'TABLE OF CONTENTS'!$P$20,"ASSET COMPONENT",WO_Data_Masterlist[[#This Row],[ASSET COMPONENT]]), "N/A")</f>
        <v>N/A</v>
      </c>
      <c r="P26" s="322">
        <v>0</v>
      </c>
      <c r="Q26" s="347">
        <f>IFERROR(WO_Data_Masterlist[[#This Row],[ANNUAL ENERGY PER UNIT]]*WO_Data_Masterlist[[#This Row],[QUANTITY NON-LINEAR INFRASTRUCTURE]], 0)</f>
        <v>0</v>
      </c>
      <c r="R26" s="374" t="str">
        <f>IF(SUM(WO_Data_Masterlist[[#This Row],[QUANTITY LINEAR INFRASTRUCTURE]:[QUANTITY NON-LINEAR INFRASTRUCTURE]])&gt;0, "YES", "NO")</f>
        <v>YES</v>
      </c>
      <c r="S2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27" spans="1:19" x14ac:dyDescent="0.25">
      <c r="A27" s="371" t="s">
        <v>403</v>
      </c>
      <c r="B27" s="370" t="s">
        <v>34</v>
      </c>
      <c r="C27" s="370" t="s">
        <v>112</v>
      </c>
      <c r="D27" s="370" t="s">
        <v>102</v>
      </c>
      <c r="E27" s="370" t="s">
        <v>412</v>
      </c>
      <c r="F27" s="320" t="s">
        <v>413</v>
      </c>
      <c r="G27" s="320">
        <v>3</v>
      </c>
      <c r="H27" s="348" t="s">
        <v>192</v>
      </c>
      <c r="I27" s="349">
        <f>'ii. WO Linear Infr. Mnt Hours'!G73</f>
        <v>76</v>
      </c>
      <c r="J27" s="344">
        <f>WO_Data_Masterlist[[#This Row],[OPERATOR HOURS per TASK]]</f>
        <v>76</v>
      </c>
      <c r="K27" s="351">
        <v>0</v>
      </c>
      <c r="L27" s="352"/>
      <c r="M27" s="352"/>
      <c r="N27" s="340">
        <f>SUM(Watermain_Inventory[LENGTH (m)])/1000</f>
        <v>10</v>
      </c>
      <c r="O27" s="341" t="str">
        <f>IFERROR(GETPIVOTDATA("ASSET GROUP",'TABLE OF CONTENTS'!$P$20,"ASSET COMPONENT",WO_Data_Masterlist[[#This Row],[ASSET COMPONENT]]), "N/A")</f>
        <v>N/A</v>
      </c>
      <c r="P27" s="322">
        <v>0</v>
      </c>
      <c r="Q27" s="347">
        <f>IFERROR(WO_Data_Masterlist[[#This Row],[ANNUAL ENERGY PER UNIT]]*WO_Data_Masterlist[[#This Row],[QUANTITY NON-LINEAR INFRASTRUCTURE]], 0)</f>
        <v>0</v>
      </c>
      <c r="R27" s="374" t="str">
        <f>IF(SUM(WO_Data_Masterlist[[#This Row],[QUANTITY LINEAR INFRASTRUCTURE]:[QUANTITY NON-LINEAR INFRASTRUCTURE]])&gt;0, "YES", "NO")</f>
        <v>YES</v>
      </c>
      <c r="S2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1082.2389517241379</v>
      </c>
    </row>
    <row r="28" spans="1:19" x14ac:dyDescent="0.25">
      <c r="A28" s="370" t="s">
        <v>404</v>
      </c>
      <c r="B28" s="370" t="s">
        <v>34</v>
      </c>
      <c r="C28" s="370" t="s">
        <v>112</v>
      </c>
      <c r="D28" s="370" t="s">
        <v>102</v>
      </c>
      <c r="E28" s="370" t="s">
        <v>415</v>
      </c>
      <c r="F28" s="320" t="s">
        <v>185</v>
      </c>
      <c r="G28" s="355">
        <v>0</v>
      </c>
      <c r="H28" s="348" t="s">
        <v>192</v>
      </c>
      <c r="I28" s="349">
        <v>4</v>
      </c>
      <c r="J28" s="350">
        <f>WO_Data_Masterlist[[#This Row],[OPERATOR HOURS per TASK]]</f>
        <v>4</v>
      </c>
      <c r="K28" s="351">
        <v>0</v>
      </c>
      <c r="L28" s="352">
        <v>0</v>
      </c>
      <c r="M28" s="352">
        <v>25</v>
      </c>
      <c r="N28" s="340">
        <f>SUM(Watermain_Inventory[LENGTH (m)])/1000</f>
        <v>10</v>
      </c>
      <c r="O28" s="341" t="str">
        <f>IFERROR(GETPIVOTDATA("ASSET GROUP",'TABLE OF CONTENTS'!$P$20,"ASSET COMPONENT",WO_Data_Masterlist[[#This Row],[ASSET COMPONENT]]), "N/A")</f>
        <v>N/A</v>
      </c>
      <c r="P28" s="322">
        <v>0</v>
      </c>
      <c r="Q28" s="347">
        <f>IFERROR(WO_Data_Masterlist[[#This Row],[ANNUAL ENERGY PER UNIT]]*WO_Data_Masterlist[[#This Row],[QUANTITY NON-LINEAR INFRASTRUCTURE]], 0)</f>
        <v>0</v>
      </c>
      <c r="R28" s="374" t="str">
        <f>IF(SUM(WO_Data_Masterlist[[#This Row],[QUANTITY LINEAR INFRASTRUCTURE]:[QUANTITY NON-LINEAR INFRASTRUCTURE]])&gt;0, "YES", "NO")</f>
        <v>YES</v>
      </c>
      <c r="S28"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29" spans="1:19" x14ac:dyDescent="0.25">
      <c r="A29" s="371" t="s">
        <v>405</v>
      </c>
      <c r="B29" s="370" t="s">
        <v>34</v>
      </c>
      <c r="C29" s="370" t="s">
        <v>112</v>
      </c>
      <c r="D29" s="370" t="s">
        <v>102</v>
      </c>
      <c r="E29" s="370" t="s">
        <v>416</v>
      </c>
      <c r="F29" s="320" t="s">
        <v>185</v>
      </c>
      <c r="G29" s="355">
        <v>0</v>
      </c>
      <c r="H29" s="348" t="s">
        <v>192</v>
      </c>
      <c r="I29" s="349">
        <v>4</v>
      </c>
      <c r="J29" s="350">
        <f>WO_Data_Masterlist[[#This Row],[OPERATOR HOURS per TASK]]</f>
        <v>4</v>
      </c>
      <c r="K29" s="351">
        <v>0</v>
      </c>
      <c r="L29" s="352">
        <v>0</v>
      </c>
      <c r="M29" s="352">
        <v>25</v>
      </c>
      <c r="N29" s="340">
        <f>SUM(Watermain_Inventory[LENGTH (m)])/1000</f>
        <v>10</v>
      </c>
      <c r="O29" s="341" t="str">
        <f>IFERROR(GETPIVOTDATA("ASSET GROUP",'TABLE OF CONTENTS'!$P$20,"ASSET COMPONENT",WO_Data_Masterlist[[#This Row],[ASSET COMPONENT]]), "N/A")</f>
        <v>N/A</v>
      </c>
      <c r="P29" s="322">
        <v>0</v>
      </c>
      <c r="Q29" s="347">
        <f>IFERROR(WO_Data_Masterlist[[#This Row],[ANNUAL ENERGY PER UNIT]]*WO_Data_Masterlist[[#This Row],[QUANTITY NON-LINEAR INFRASTRUCTURE]], 0)</f>
        <v>0</v>
      </c>
      <c r="R29" s="374" t="str">
        <f>IF(SUM(WO_Data_Masterlist[[#This Row],[QUANTITY LINEAR INFRASTRUCTURE]:[QUANTITY NON-LINEAR INFRASTRUCTURE]])&gt;0, "YES", "NO")</f>
        <v>YES</v>
      </c>
      <c r="S2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30" spans="1:19" x14ac:dyDescent="0.25">
      <c r="A30" s="371" t="s">
        <v>406</v>
      </c>
      <c r="B30" s="370" t="s">
        <v>34</v>
      </c>
      <c r="C30" s="370" t="s">
        <v>112</v>
      </c>
      <c r="D30" s="370" t="s">
        <v>102</v>
      </c>
      <c r="E30" s="370" t="s">
        <v>417</v>
      </c>
      <c r="F30" s="320" t="s">
        <v>185</v>
      </c>
      <c r="G30" s="355">
        <v>0</v>
      </c>
      <c r="H30" s="348" t="s">
        <v>192</v>
      </c>
      <c r="I30" s="349">
        <v>2</v>
      </c>
      <c r="J30" s="350">
        <f>WO_Data_Masterlist[[#This Row],[OPERATOR HOURS per TASK]]</f>
        <v>2</v>
      </c>
      <c r="K30" s="351">
        <v>0</v>
      </c>
      <c r="L30" s="352">
        <v>10</v>
      </c>
      <c r="M30" s="352">
        <v>25</v>
      </c>
      <c r="N30" s="340">
        <f>SUM(Watermain_Inventory[LENGTH (m)])/1000</f>
        <v>10</v>
      </c>
      <c r="O30" s="341" t="str">
        <f>IFERROR(GETPIVOTDATA("ASSET GROUP",'TABLE OF CONTENTS'!$P$20,"ASSET COMPONENT",WO_Data_Masterlist[[#This Row],[ASSET COMPONENT]]), "N/A")</f>
        <v>N/A</v>
      </c>
      <c r="P30" s="322">
        <v>0</v>
      </c>
      <c r="Q30" s="347">
        <f>IFERROR(WO_Data_Masterlist[[#This Row],[ANNUAL ENERGY PER UNIT]]*WO_Data_Masterlist[[#This Row],[QUANTITY NON-LINEAR INFRASTRUCTURE]], 0)</f>
        <v>0</v>
      </c>
      <c r="R30" s="374" t="str">
        <f>IF(SUM(WO_Data_Masterlist[[#This Row],[QUANTITY LINEAR INFRASTRUCTURE]:[QUANTITY NON-LINEAR INFRASTRUCTURE]])&gt;0, "YES", "NO")</f>
        <v>YES</v>
      </c>
      <c r="S3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31" spans="1:19" x14ac:dyDescent="0.25">
      <c r="A31" s="370" t="s">
        <v>364</v>
      </c>
      <c r="B31" s="370" t="s">
        <v>34</v>
      </c>
      <c r="C31" s="370" t="s">
        <v>112</v>
      </c>
      <c r="D31" s="370" t="s">
        <v>398</v>
      </c>
      <c r="E31" s="370" t="s">
        <v>337</v>
      </c>
      <c r="F31" s="320" t="s">
        <v>180</v>
      </c>
      <c r="G31" s="320">
        <v>1</v>
      </c>
      <c r="H31" s="348" t="s">
        <v>192</v>
      </c>
      <c r="I31" s="349">
        <v>4</v>
      </c>
      <c r="J31" s="350">
        <f>WO_Data_Masterlist[[#This Row],[OPERATOR HOURS per TASK]]</f>
        <v>4</v>
      </c>
      <c r="K31" s="351">
        <v>0</v>
      </c>
      <c r="L31" s="352">
        <v>50</v>
      </c>
      <c r="M31" s="352">
        <v>500</v>
      </c>
      <c r="N31" s="340">
        <f>IF('ii. WO Linear Infr. Mnt Hours'!M$17&gt;0, 1, 0)</f>
        <v>0</v>
      </c>
      <c r="O31" s="341">
        <f>IFERROR(GETPIVOTDATA("ASSET GROUP",'TABLE OF CONTENTS'!$P$20,"ASSET COMPONENT",WO_Data_Masterlist[[#This Row],[ASSET COMPONENT]]), "N/A")</f>
        <v>1</v>
      </c>
      <c r="P31" s="322">
        <v>0</v>
      </c>
      <c r="Q31" s="347">
        <f>IFERROR(WO_Data_Masterlist[[#This Row],[ANNUAL ENERGY PER UNIT]]*WO_Data_Masterlist[[#This Row],[QUANTITY NON-LINEAR INFRASTRUCTURE]], 0)</f>
        <v>0</v>
      </c>
      <c r="R31" s="374" t="str">
        <f>IF(SUM(WO_Data_Masterlist[[#This Row],[QUANTITY LINEAR INFRASTRUCTURE]:[QUANTITY NON-LINEAR INFRASTRUCTURE]])&gt;0, "YES", "NO")</f>
        <v>YES</v>
      </c>
      <c r="S3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32" spans="1:19" x14ac:dyDescent="0.25">
      <c r="A32" s="370" t="s">
        <v>150</v>
      </c>
      <c r="B32" s="370" t="s">
        <v>34</v>
      </c>
      <c r="C32" s="370" t="s">
        <v>107</v>
      </c>
      <c r="D32" s="370" t="s">
        <v>153</v>
      </c>
      <c r="E32" s="370" t="s">
        <v>154</v>
      </c>
      <c r="F32" s="320" t="s">
        <v>184</v>
      </c>
      <c r="G32" s="356">
        <v>360</v>
      </c>
      <c r="H32" s="348" t="s">
        <v>192</v>
      </c>
      <c r="I32" s="349">
        <v>0.5</v>
      </c>
      <c r="J32" s="354">
        <v>0.5</v>
      </c>
      <c r="K32" s="357">
        <v>0</v>
      </c>
      <c r="L32" s="352">
        <v>1</v>
      </c>
      <c r="M32" s="352">
        <v>5</v>
      </c>
      <c r="N32" s="358" t="s">
        <v>192</v>
      </c>
      <c r="O32" s="358" t="str">
        <f>IFERROR(GETPIVOTDATA("ASSET GROUP",'TABLE OF CONTENTS'!$P$20,"ASSET COMPONENT",WO_Data_Masterlist[[#This Row],[ASSET COMPONENT]]), "N/A")</f>
        <v>N/A</v>
      </c>
      <c r="P32" s="322">
        <v>0</v>
      </c>
      <c r="Q32" s="347">
        <f>IFERROR(WO_Data_Masterlist[[#This Row],[ANNUAL ENERGY PER UNIT]]*WO_Data_Masterlist[[#This Row],[QUANTITY NON-LINEAR INFRASTRUCTURE]], 0)</f>
        <v>0</v>
      </c>
      <c r="R32" s="374" t="str">
        <f>IF(SUM(WO_Data_Masterlist[[#This Row],[QUANTITY LINEAR INFRASTRUCTURE]:[QUANTITY NON-LINEAR INFRASTRUCTURE]])&gt;0, "YES", "NO")</f>
        <v>NO</v>
      </c>
      <c r="S3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10703.991724137932</v>
      </c>
    </row>
    <row r="33" spans="1:19" x14ac:dyDescent="0.25">
      <c r="A33" s="370" t="s">
        <v>151</v>
      </c>
      <c r="B33" s="370" t="s">
        <v>34</v>
      </c>
      <c r="C33" s="370" t="s">
        <v>107</v>
      </c>
      <c r="D33" s="370" t="s">
        <v>153</v>
      </c>
      <c r="E33" s="370" t="s">
        <v>155</v>
      </c>
      <c r="F33" s="320" t="s">
        <v>183</v>
      </c>
      <c r="G33" s="356">
        <v>3</v>
      </c>
      <c r="H33" s="348" t="s">
        <v>192</v>
      </c>
      <c r="I33" s="349">
        <v>2</v>
      </c>
      <c r="J33" s="354">
        <v>1</v>
      </c>
      <c r="K33" s="357">
        <v>0</v>
      </c>
      <c r="L33" s="352">
        <v>25</v>
      </c>
      <c r="M33" s="352">
        <v>2400</v>
      </c>
      <c r="N33" s="358" t="s">
        <v>192</v>
      </c>
      <c r="O33" s="358" t="str">
        <f>IFERROR(GETPIVOTDATA("ASSET GROUP",'TABLE OF CONTENTS'!$P$20,"ASSET COMPONENT",WO_Data_Masterlist[[#This Row],[ASSET COMPONENT]]), "N/A")</f>
        <v>N/A</v>
      </c>
      <c r="P33" s="322">
        <v>0</v>
      </c>
      <c r="Q33" s="347">
        <f>IFERROR(WO_Data_Masterlist[[#This Row],[ANNUAL ENERGY PER UNIT]]*WO_Data_Masterlist[[#This Row],[QUANTITY NON-LINEAR INFRASTRUCTURE]], 0)</f>
        <v>0</v>
      </c>
      <c r="R33" s="374" t="str">
        <f>IF(SUM(WO_Data_Masterlist[[#This Row],[QUANTITY LINEAR INFRASTRUCTURE]:[QUANTITY NON-LINEAR INFRASTRUCTURE]])&gt;0, "YES", "NO")</f>
        <v>NO</v>
      </c>
      <c r="S3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7510.3998620689654</v>
      </c>
    </row>
    <row r="34" spans="1:19" x14ac:dyDescent="0.25">
      <c r="A34" s="370" t="s">
        <v>152</v>
      </c>
      <c r="B34" s="370" t="s">
        <v>34</v>
      </c>
      <c r="C34" s="370" t="s">
        <v>107</v>
      </c>
      <c r="D34" s="370" t="s">
        <v>153</v>
      </c>
      <c r="E34" s="370" t="s">
        <v>156</v>
      </c>
      <c r="F34" s="320" t="s">
        <v>180</v>
      </c>
      <c r="G34" s="356">
        <v>1</v>
      </c>
      <c r="H34" s="348" t="s">
        <v>192</v>
      </c>
      <c r="I34" s="349">
        <v>4</v>
      </c>
      <c r="J34" s="354">
        <v>1</v>
      </c>
      <c r="K34" s="357">
        <v>0</v>
      </c>
      <c r="L34" s="352">
        <v>50</v>
      </c>
      <c r="M34" s="352">
        <v>200</v>
      </c>
      <c r="N34" s="358" t="s">
        <v>192</v>
      </c>
      <c r="O34" s="358" t="str">
        <f>IFERROR(GETPIVOTDATA("ASSET GROUP",'TABLE OF CONTENTS'!$P$20,"ASSET COMPONENT",WO_Data_Masterlist[[#This Row],[ASSET COMPONENT]]), "N/A")</f>
        <v>N/A</v>
      </c>
      <c r="P34" s="322">
        <v>0</v>
      </c>
      <c r="Q34" s="347">
        <f>IFERROR(WO_Data_Masterlist[[#This Row],[ANNUAL ENERGY PER UNIT]]*WO_Data_Masterlist[[#This Row],[QUANTITY NON-LINEAR INFRASTRUCTURE]], 0)</f>
        <v>0</v>
      </c>
      <c r="R34" s="374" t="str">
        <f>IF(SUM(WO_Data_Masterlist[[#This Row],[QUANTITY LINEAR INFRASTRUCTURE]:[QUANTITY NON-LINEAR INFRASTRUCTURE]])&gt;0, "YES", "NO")</f>
        <v>NO</v>
      </c>
      <c r="S3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390.4666206896552</v>
      </c>
    </row>
    <row r="35" spans="1:19" x14ac:dyDescent="0.25">
      <c r="A35" s="371" t="s">
        <v>288</v>
      </c>
      <c r="B35" s="370" t="s">
        <v>34</v>
      </c>
      <c r="C35" s="370" t="s">
        <v>107</v>
      </c>
      <c r="D35" s="370" t="s">
        <v>292</v>
      </c>
      <c r="E35" s="370" t="s">
        <v>293</v>
      </c>
      <c r="F35" s="320" t="s">
        <v>184</v>
      </c>
      <c r="G35" s="320">
        <v>365</v>
      </c>
      <c r="H35" s="348" t="s">
        <v>192</v>
      </c>
      <c r="I35" s="349">
        <v>1</v>
      </c>
      <c r="J35" s="354">
        <v>0</v>
      </c>
      <c r="K35" s="357">
        <v>0</v>
      </c>
      <c r="L35" s="352">
        <v>0</v>
      </c>
      <c r="M35" s="352">
        <v>0</v>
      </c>
      <c r="N35" s="358" t="s">
        <v>192</v>
      </c>
      <c r="O35" s="358" t="str">
        <f>IFERROR(GETPIVOTDATA("ASSET GROUP",'TABLE OF CONTENTS'!$P$20,"ASSET COMPONENT",WO_Data_Masterlist[[#This Row],[ASSET COMPONENT]]), "N/A")</f>
        <v>N/A</v>
      </c>
      <c r="P35" s="322">
        <v>29000</v>
      </c>
      <c r="Q35" s="347">
        <f>IFERROR(WO_Data_Masterlist[[#This Row],[ANNUAL ENERGY PER UNIT]]*WO_Data_Masterlist[[#This Row],[QUANTITY NON-LINEAR INFRASTRUCTURE]], 0)</f>
        <v>0</v>
      </c>
      <c r="R35" s="374" t="str">
        <f>IF(SUM(WO_Data_Masterlist[[#This Row],[QUANTITY LINEAR INFRASTRUCTURE]:[QUANTITY NON-LINEAR INFRASTRUCTURE]])&gt;0, "YES", "NO")</f>
        <v>NO</v>
      </c>
      <c r="S3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40315</v>
      </c>
    </row>
    <row r="36" spans="1:19" x14ac:dyDescent="0.25">
      <c r="A36" s="371" t="s">
        <v>289</v>
      </c>
      <c r="B36" s="370" t="s">
        <v>34</v>
      </c>
      <c r="C36" s="370" t="s">
        <v>107</v>
      </c>
      <c r="D36" s="370" t="s">
        <v>292</v>
      </c>
      <c r="E36" s="370" t="s">
        <v>294</v>
      </c>
      <c r="F36" s="320" t="s">
        <v>181</v>
      </c>
      <c r="G36" s="320">
        <v>52</v>
      </c>
      <c r="H36" s="348" t="s">
        <v>192</v>
      </c>
      <c r="I36" s="349">
        <v>2</v>
      </c>
      <c r="J36" s="354">
        <v>0</v>
      </c>
      <c r="K36" s="357">
        <v>0</v>
      </c>
      <c r="L36" s="352">
        <v>0</v>
      </c>
      <c r="M36" s="352">
        <v>10</v>
      </c>
      <c r="N36" s="358" t="s">
        <v>192</v>
      </c>
      <c r="O36" s="358" t="str">
        <f>IFERROR(GETPIVOTDATA("ASSET GROUP",'TABLE OF CONTENTS'!$P$20,"ASSET COMPONENT",WO_Data_Masterlist[[#This Row],[ASSET COMPONENT]]), "N/A")</f>
        <v>N/A</v>
      </c>
      <c r="P36" s="322">
        <v>0</v>
      </c>
      <c r="Q36" s="347">
        <f>IFERROR(WO_Data_Masterlist[[#This Row],[ANNUAL ENERGY PER UNIT]]*WO_Data_Masterlist[[#This Row],[QUANTITY NON-LINEAR INFRASTRUCTURE]], 0)</f>
        <v>0</v>
      </c>
      <c r="R36" s="374" t="str">
        <f>IF(SUM(WO_Data_Masterlist[[#This Row],[QUANTITY LINEAR INFRASTRUCTURE]:[QUANTITY NON-LINEAR INFRASTRUCTURE]])&gt;0, "YES", "NO")</f>
        <v>NO</v>
      </c>
      <c r="S3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3744</v>
      </c>
    </row>
    <row r="37" spans="1:19" x14ac:dyDescent="0.25">
      <c r="A37" s="371" t="s">
        <v>290</v>
      </c>
      <c r="B37" s="370" t="s">
        <v>34</v>
      </c>
      <c r="C37" s="370" t="s">
        <v>107</v>
      </c>
      <c r="D37" s="370" t="s">
        <v>292</v>
      </c>
      <c r="E37" s="370" t="s">
        <v>325</v>
      </c>
      <c r="F37" s="320" t="s">
        <v>506</v>
      </c>
      <c r="G37" s="320">
        <v>6</v>
      </c>
      <c r="H37" s="348" t="s">
        <v>192</v>
      </c>
      <c r="I37" s="349">
        <v>16</v>
      </c>
      <c r="J37" s="354">
        <v>2</v>
      </c>
      <c r="K37" s="357">
        <v>0</v>
      </c>
      <c r="L37" s="352">
        <v>200</v>
      </c>
      <c r="M37" s="352">
        <v>100</v>
      </c>
      <c r="N37" s="358" t="s">
        <v>192</v>
      </c>
      <c r="O37" s="358" t="str">
        <f>IFERROR(GETPIVOTDATA("ASSET GROUP",'TABLE OF CONTENTS'!$P$20,"ASSET COMPONENT",WO_Data_Masterlist[[#This Row],[ASSET COMPONENT]]), "N/A")</f>
        <v>N/A</v>
      </c>
      <c r="P37" s="322">
        <v>0</v>
      </c>
      <c r="Q37" s="347">
        <f>IFERROR(WO_Data_Masterlist[[#This Row],[ANNUAL ENERGY PER UNIT]]*WO_Data_Masterlist[[#This Row],[QUANTITY NON-LINEAR INFRASTRUCTURE]], 0)</f>
        <v>0</v>
      </c>
      <c r="R37" s="374" t="str">
        <f>IF(SUM(WO_Data_Masterlist[[#This Row],[QUANTITY LINEAR INFRASTRUCTURE]:[QUANTITY NON-LINEAR INFRASTRUCTURE]])&gt;0, "YES", "NO")</f>
        <v>NO</v>
      </c>
      <c r="S3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4973.5994482758624</v>
      </c>
    </row>
    <row r="38" spans="1:19" x14ac:dyDescent="0.25">
      <c r="A38" s="371" t="s">
        <v>291</v>
      </c>
      <c r="B38" s="370" t="s">
        <v>34</v>
      </c>
      <c r="C38" s="370" t="s">
        <v>107</v>
      </c>
      <c r="D38" s="370" t="s">
        <v>292</v>
      </c>
      <c r="E38" s="370" t="s">
        <v>295</v>
      </c>
      <c r="F38" s="320" t="s">
        <v>507</v>
      </c>
      <c r="G38" s="359">
        <f>1/6</f>
        <v>0.16666666666666666</v>
      </c>
      <c r="H38" s="348" t="s">
        <v>192</v>
      </c>
      <c r="I38" s="349">
        <v>60</v>
      </c>
      <c r="J38" s="354">
        <v>20</v>
      </c>
      <c r="K38" s="357">
        <v>0</v>
      </c>
      <c r="L38" s="352">
        <v>200</v>
      </c>
      <c r="M38" s="352">
        <v>1000</v>
      </c>
      <c r="N38" s="358" t="s">
        <v>192</v>
      </c>
      <c r="O38" s="358" t="str">
        <f>IFERROR(GETPIVOTDATA("ASSET GROUP",'TABLE OF CONTENTS'!$P$20,"ASSET COMPONENT",WO_Data_Masterlist[[#This Row],[ASSET COMPONENT]]), "N/A")</f>
        <v>N/A</v>
      </c>
      <c r="P38" s="322">
        <v>0</v>
      </c>
      <c r="Q38" s="347">
        <f>IFERROR(WO_Data_Masterlist[[#This Row],[ANNUAL ENERGY PER UNIT]]*WO_Data_Masterlist[[#This Row],[QUANTITY NON-LINEAR INFRASTRUCTURE]], 0)</f>
        <v>0</v>
      </c>
      <c r="R38" s="374" t="str">
        <f>IF(SUM(WO_Data_Masterlist[[#This Row],[QUANTITY LINEAR INFRASTRUCTURE]:[QUANTITY NON-LINEAR INFRASTRUCTURE]])&gt;0, "YES", "NO")</f>
        <v>NO</v>
      </c>
      <c r="S38"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564.88873563218385</v>
      </c>
    </row>
    <row r="39" spans="1:19" x14ac:dyDescent="0.25">
      <c r="A39" s="370" t="s">
        <v>157</v>
      </c>
      <c r="B39" s="370" t="s">
        <v>34</v>
      </c>
      <c r="C39" s="370" t="s">
        <v>109</v>
      </c>
      <c r="D39" s="370" t="s">
        <v>103</v>
      </c>
      <c r="E39" s="370" t="s">
        <v>419</v>
      </c>
      <c r="F39" s="320" t="s">
        <v>181</v>
      </c>
      <c r="G39" s="356">
        <v>40</v>
      </c>
      <c r="H39" s="348" t="s">
        <v>192</v>
      </c>
      <c r="I39" s="349">
        <v>1</v>
      </c>
      <c r="J39" s="354">
        <v>1</v>
      </c>
      <c r="K39" s="357">
        <v>0</v>
      </c>
      <c r="L39" s="352">
        <v>0</v>
      </c>
      <c r="M39" s="352">
        <v>0</v>
      </c>
      <c r="N39" s="358" t="s">
        <v>192</v>
      </c>
      <c r="O39" s="358" t="str">
        <f>IFERROR(GETPIVOTDATA("ASSET GROUP",'TABLE OF CONTENTS'!$P$20,"ASSET COMPONENT",WO_Data_Masterlist[[#This Row],[ASSET COMPONENT]]), "N/A")</f>
        <v>N/A</v>
      </c>
      <c r="P39" s="322">
        <v>0</v>
      </c>
      <c r="Q39" s="347">
        <f>IFERROR(WO_Data_Masterlist[[#This Row],[ANNUAL ENERGY PER UNIT]]*WO_Data_Masterlist[[#This Row],[QUANTITY NON-LINEAR INFRASTRUCTURE]], 0)</f>
        <v>0</v>
      </c>
      <c r="R39" s="374" t="str">
        <f>IF(SUM(WO_Data_Masterlist[[#This Row],[QUANTITY LINEAR INFRASTRUCTURE]:[QUANTITY NON-LINEAR INFRASTRUCTURE]])&gt;0, "YES", "NO")</f>
        <v>NO</v>
      </c>
      <c r="S3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1898.6648275862069</v>
      </c>
    </row>
    <row r="40" spans="1:19" x14ac:dyDescent="0.25">
      <c r="A40" s="370" t="s">
        <v>158</v>
      </c>
      <c r="B40" s="370" t="s">
        <v>34</v>
      </c>
      <c r="C40" s="370" t="s">
        <v>109</v>
      </c>
      <c r="D40" s="370" t="s">
        <v>103</v>
      </c>
      <c r="E40" s="370" t="s">
        <v>443</v>
      </c>
      <c r="F40" s="320" t="s">
        <v>182</v>
      </c>
      <c r="G40" s="356">
        <v>11</v>
      </c>
      <c r="H40" s="348" t="s">
        <v>192</v>
      </c>
      <c r="I40" s="349">
        <v>2</v>
      </c>
      <c r="J40" s="354">
        <v>1</v>
      </c>
      <c r="K40" s="357">
        <v>0</v>
      </c>
      <c r="L40" s="352">
        <v>0</v>
      </c>
      <c r="M40" s="352">
        <v>25</v>
      </c>
      <c r="N40" s="358" t="s">
        <v>192</v>
      </c>
      <c r="O40" s="358" t="str">
        <f>IFERROR(GETPIVOTDATA("ASSET GROUP",'TABLE OF CONTENTS'!$P$20,"ASSET COMPONENT",WO_Data_Masterlist[[#This Row],[ASSET COMPONENT]]), "N/A")</f>
        <v>N/A</v>
      </c>
      <c r="P40" s="322">
        <v>0</v>
      </c>
      <c r="Q40" s="347">
        <f>IFERROR(WO_Data_Masterlist[[#This Row],[ANNUAL ENERGY PER UNIT]]*WO_Data_Masterlist[[#This Row],[QUANTITY NON-LINEAR INFRASTRUCTURE]], 0)</f>
        <v>0</v>
      </c>
      <c r="R40" s="374" t="str">
        <f>IF(SUM(WO_Data_Masterlist[[#This Row],[QUANTITY LINEAR INFRASTRUCTURE]:[QUANTITY NON-LINEAR INFRASTRUCTURE]])&gt;0, "YES", "NO")</f>
        <v>NO</v>
      </c>
      <c r="S4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1138.132827586207</v>
      </c>
    </row>
    <row r="41" spans="1:19" x14ac:dyDescent="0.25">
      <c r="A41" s="370" t="s">
        <v>159</v>
      </c>
      <c r="B41" s="370" t="s">
        <v>34</v>
      </c>
      <c r="C41" s="370" t="s">
        <v>109</v>
      </c>
      <c r="D41" s="370" t="s">
        <v>103</v>
      </c>
      <c r="E41" s="370" t="s">
        <v>160</v>
      </c>
      <c r="F41" s="320" t="s">
        <v>180</v>
      </c>
      <c r="G41" s="356">
        <v>1</v>
      </c>
      <c r="H41" s="348" t="s">
        <v>192</v>
      </c>
      <c r="I41" s="349">
        <v>3</v>
      </c>
      <c r="J41" s="354">
        <v>1</v>
      </c>
      <c r="K41" s="357">
        <v>0</v>
      </c>
      <c r="L41" s="352">
        <v>50</v>
      </c>
      <c r="M41" s="352">
        <v>50</v>
      </c>
      <c r="N41" s="358" t="s">
        <v>192</v>
      </c>
      <c r="O41" s="358" t="str">
        <f>IFERROR(GETPIVOTDATA("ASSET GROUP",'TABLE OF CONTENTS'!$P$20,"ASSET COMPONENT",WO_Data_Masterlist[[#This Row],[ASSET COMPONENT]]), "N/A")</f>
        <v>N/A</v>
      </c>
      <c r="P41" s="322">
        <v>900</v>
      </c>
      <c r="Q41" s="347">
        <f>IFERROR(WO_Data_Masterlist[[#This Row],[ANNUAL ENERGY PER UNIT]]*WO_Data_Masterlist[[#This Row],[QUANTITY NON-LINEAR INFRASTRUCTURE]], 0)</f>
        <v>0</v>
      </c>
      <c r="R41" s="374" t="str">
        <f>IF(SUM(WO_Data_Masterlist[[#This Row],[QUANTITY LINEAR INFRASTRUCTURE]:[QUANTITY NON-LINEAR INFRASTRUCTURE]])&gt;0, "YES", "NO")</f>
        <v>NO</v>
      </c>
      <c r="S4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1109.4666206896552</v>
      </c>
    </row>
    <row r="42" spans="1:19" x14ac:dyDescent="0.25">
      <c r="A42" s="370" t="s">
        <v>161</v>
      </c>
      <c r="B42" s="370" t="s">
        <v>34</v>
      </c>
      <c r="C42" s="370" t="s">
        <v>109</v>
      </c>
      <c r="D42" s="370" t="s">
        <v>103</v>
      </c>
      <c r="E42" s="370" t="s">
        <v>162</v>
      </c>
      <c r="F42" s="320" t="s">
        <v>187</v>
      </c>
      <c r="G42" s="359">
        <f>1/3</f>
        <v>0.33333333333333331</v>
      </c>
      <c r="H42" s="348" t="s">
        <v>192</v>
      </c>
      <c r="I42" s="349">
        <v>4</v>
      </c>
      <c r="J42" s="350">
        <v>1</v>
      </c>
      <c r="K42" s="351">
        <v>0</v>
      </c>
      <c r="L42" s="352">
        <v>0</v>
      </c>
      <c r="M42" s="352">
        <v>50</v>
      </c>
      <c r="N42" s="358" t="s">
        <v>192</v>
      </c>
      <c r="O42" s="358" t="str">
        <f>IFERROR(GETPIVOTDATA("ASSET GROUP",'TABLE OF CONTENTS'!$P$20,"ASSET COMPONENT",WO_Data_Masterlist[[#This Row],[ASSET COMPONENT]]), "N/A")</f>
        <v>N/A</v>
      </c>
      <c r="P42" s="322">
        <v>0</v>
      </c>
      <c r="Q42" s="347">
        <f>IFERROR(WO_Data_Masterlist[[#This Row],[ANNUAL ENERGY PER UNIT]]*WO_Data_Masterlist[[#This Row],[QUANTITY NON-LINEAR INFRASTRUCTURE]], 0)</f>
        <v>0</v>
      </c>
      <c r="R42" s="374" t="str">
        <f>IF(SUM(WO_Data_Masterlist[[#This Row],[QUANTITY LINEAR INFRASTRUCTURE]:[QUANTITY NON-LINEAR INFRASTRUCTURE]])&gt;0, "YES", "NO")</f>
        <v>NO</v>
      </c>
      <c r="S4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63.488873563218391</v>
      </c>
    </row>
    <row r="43" spans="1:19" x14ac:dyDescent="0.25">
      <c r="A43" s="370" t="s">
        <v>163</v>
      </c>
      <c r="B43" s="370" t="s">
        <v>34</v>
      </c>
      <c r="C43" s="370" t="s">
        <v>112</v>
      </c>
      <c r="D43" s="370" t="s">
        <v>104</v>
      </c>
      <c r="E43" s="370" t="s">
        <v>164</v>
      </c>
      <c r="F43" s="320" t="s">
        <v>181</v>
      </c>
      <c r="G43" s="356">
        <v>40</v>
      </c>
      <c r="H43" s="348" t="s">
        <v>192</v>
      </c>
      <c r="I43" s="349">
        <v>1</v>
      </c>
      <c r="J43" s="354">
        <v>1</v>
      </c>
      <c r="K43" s="357">
        <v>0</v>
      </c>
      <c r="L43" s="352">
        <v>0</v>
      </c>
      <c r="M43" s="352">
        <v>5</v>
      </c>
      <c r="N43" s="358" t="s">
        <v>192</v>
      </c>
      <c r="O43" s="358">
        <f>IFERROR(GETPIVOTDATA("ASSET GROUP",'TABLE OF CONTENTS'!$P$20,"ASSET COMPONENT",WO_Data_Masterlist[[#This Row],[ASSET COMPONENT]]), "N/A")</f>
        <v>1</v>
      </c>
      <c r="P43" s="322">
        <v>0</v>
      </c>
      <c r="Q43" s="347">
        <f>IFERROR(WO_Data_Masterlist[[#This Row],[ANNUAL ENERGY PER UNIT]]*WO_Data_Masterlist[[#This Row],[QUANTITY NON-LINEAR INFRASTRUCTURE]], 0)</f>
        <v>0</v>
      </c>
      <c r="R43" s="374" t="str">
        <f>IF(SUM(WO_Data_Masterlist[[#This Row],[QUANTITY LINEAR INFRASTRUCTURE]:[QUANTITY NON-LINEAR INFRASTRUCTURE]])&gt;0, "YES", "NO")</f>
        <v>YES</v>
      </c>
      <c r="S4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2098.6648275862071</v>
      </c>
    </row>
    <row r="44" spans="1:19" x14ac:dyDescent="0.25">
      <c r="A44" s="370" t="s">
        <v>165</v>
      </c>
      <c r="B44" s="370" t="s">
        <v>34</v>
      </c>
      <c r="C44" s="370" t="s">
        <v>112</v>
      </c>
      <c r="D44" s="370" t="s">
        <v>104</v>
      </c>
      <c r="E44" s="370" t="s">
        <v>166</v>
      </c>
      <c r="F44" s="320" t="s">
        <v>182</v>
      </c>
      <c r="G44" s="356">
        <v>11</v>
      </c>
      <c r="H44" s="348" t="s">
        <v>192</v>
      </c>
      <c r="I44" s="349">
        <v>4</v>
      </c>
      <c r="J44" s="354">
        <v>1</v>
      </c>
      <c r="K44" s="357">
        <v>0</v>
      </c>
      <c r="L44" s="352">
        <v>10</v>
      </c>
      <c r="M44" s="352">
        <v>50</v>
      </c>
      <c r="N44" s="358" t="s">
        <v>192</v>
      </c>
      <c r="O44" s="358">
        <f>IFERROR(GETPIVOTDATA("ASSET GROUP",'TABLE OF CONTENTS'!$P$20,"ASSET COMPONENT",WO_Data_Masterlist[[#This Row],[ASSET COMPONENT]]), "N/A")</f>
        <v>1</v>
      </c>
      <c r="P44" s="322">
        <v>0</v>
      </c>
      <c r="Q44" s="347">
        <f>IFERROR(WO_Data_Masterlist[[#This Row],[ANNUAL ENERGY PER UNIT]]*WO_Data_Masterlist[[#This Row],[QUANTITY NON-LINEAR INFRASTRUCTURE]], 0)</f>
        <v>0</v>
      </c>
      <c r="R44" s="374" t="str">
        <f>IF(SUM(WO_Data_Masterlist[[#This Row],[QUANTITY LINEAR INFRASTRUCTURE]:[QUANTITY NON-LINEAR INFRASTRUCTURE]])&gt;0, "YES", "NO")</f>
        <v>YES</v>
      </c>
      <c r="S4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2205.132827586207</v>
      </c>
    </row>
    <row r="45" spans="1:19" x14ac:dyDescent="0.25">
      <c r="A45" s="370" t="s">
        <v>167</v>
      </c>
      <c r="B45" s="370" t="s">
        <v>34</v>
      </c>
      <c r="C45" s="370" t="s">
        <v>112</v>
      </c>
      <c r="D45" s="370" t="s">
        <v>104</v>
      </c>
      <c r="E45" s="370" t="s">
        <v>168</v>
      </c>
      <c r="F45" s="320" t="s">
        <v>180</v>
      </c>
      <c r="G45" s="356">
        <v>1</v>
      </c>
      <c r="H45" s="348" t="s">
        <v>192</v>
      </c>
      <c r="I45" s="349">
        <v>6</v>
      </c>
      <c r="J45" s="354">
        <v>1</v>
      </c>
      <c r="K45" s="357">
        <v>0</v>
      </c>
      <c r="L45" s="352">
        <v>50</v>
      </c>
      <c r="M45" s="352">
        <v>100</v>
      </c>
      <c r="N45" s="358" t="s">
        <v>192</v>
      </c>
      <c r="O45" s="358">
        <f>IFERROR(GETPIVOTDATA("ASSET GROUP",'TABLE OF CONTENTS'!$P$20,"ASSET COMPONENT",WO_Data_Masterlist[[#This Row],[ASSET COMPONENT]]), "N/A")</f>
        <v>1</v>
      </c>
      <c r="P45" s="322">
        <v>2500</v>
      </c>
      <c r="Q45" s="347">
        <f>IFERROR(WO_Data_Masterlist[[#This Row],[ANNUAL ENERGY PER UNIT]]*WO_Data_Masterlist[[#This Row],[QUANTITY NON-LINEAR INFRASTRUCTURE]], 0)</f>
        <v>2500</v>
      </c>
      <c r="R45" s="374" t="str">
        <f>IF(SUM(WO_Data_Masterlist[[#This Row],[QUANTITY LINEAR INFRASTRUCTURE]:[QUANTITY NON-LINEAR INFRASTRUCTURE]])&gt;0, "YES", "NO")</f>
        <v>YES</v>
      </c>
      <c r="S4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2852.4666206896554</v>
      </c>
    </row>
    <row r="46" spans="1:19" x14ac:dyDescent="0.25">
      <c r="A46" s="370" t="s">
        <v>169</v>
      </c>
      <c r="B46" s="370" t="s">
        <v>34</v>
      </c>
      <c r="C46" s="370" t="s">
        <v>108</v>
      </c>
      <c r="D46" s="370" t="s">
        <v>361</v>
      </c>
      <c r="E46" s="370" t="s">
        <v>418</v>
      </c>
      <c r="F46" s="320" t="s">
        <v>181</v>
      </c>
      <c r="G46" s="356">
        <v>40</v>
      </c>
      <c r="H46" s="348" t="s">
        <v>192</v>
      </c>
      <c r="I46" s="349">
        <v>1</v>
      </c>
      <c r="J46" s="350">
        <v>1</v>
      </c>
      <c r="K46" s="351">
        <v>0</v>
      </c>
      <c r="L46" s="352">
        <v>0</v>
      </c>
      <c r="M46" s="352">
        <v>0</v>
      </c>
      <c r="N46" s="358" t="s">
        <v>192</v>
      </c>
      <c r="O46" s="358" t="str">
        <f>IFERROR(GETPIVOTDATA("ASSET GROUP",'TABLE OF CONTENTS'!$P$20,"ASSET COMPONENT",WO_Data_Masterlist[[#This Row],[ASSET COMPONENT]]), "N/A")</f>
        <v>N/A</v>
      </c>
      <c r="P46" s="322">
        <v>0</v>
      </c>
      <c r="Q46" s="347">
        <f>IFERROR(WO_Data_Masterlist[[#This Row],[ANNUAL ENERGY PER UNIT]]*WO_Data_Masterlist[[#This Row],[QUANTITY NON-LINEAR INFRASTRUCTURE]], 0)</f>
        <v>0</v>
      </c>
      <c r="R46" s="374" t="str">
        <f>IF(SUM(WO_Data_Masterlist[[#This Row],[QUANTITY LINEAR INFRASTRUCTURE]:[QUANTITY NON-LINEAR INFRASTRUCTURE]])&gt;0, "YES", "NO")</f>
        <v>NO</v>
      </c>
      <c r="S4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1898.6648275862069</v>
      </c>
    </row>
    <row r="47" spans="1:19" x14ac:dyDescent="0.25">
      <c r="A47" s="370" t="s">
        <v>170</v>
      </c>
      <c r="B47" s="370" t="s">
        <v>34</v>
      </c>
      <c r="C47" s="370" t="s">
        <v>108</v>
      </c>
      <c r="D47" s="370" t="s">
        <v>361</v>
      </c>
      <c r="E47" s="370" t="s">
        <v>171</v>
      </c>
      <c r="F47" s="320" t="s">
        <v>182</v>
      </c>
      <c r="G47" s="356">
        <v>8</v>
      </c>
      <c r="H47" s="348" t="s">
        <v>192</v>
      </c>
      <c r="I47" s="349">
        <v>3</v>
      </c>
      <c r="J47" s="350">
        <v>1</v>
      </c>
      <c r="K47" s="351">
        <v>0</v>
      </c>
      <c r="L47" s="352">
        <v>10</v>
      </c>
      <c r="M47" s="352">
        <v>50</v>
      </c>
      <c r="N47" s="358" t="s">
        <v>192</v>
      </c>
      <c r="O47" s="358" t="str">
        <f>IFERROR(GETPIVOTDATA("ASSET GROUP",'TABLE OF CONTENTS'!$P$20,"ASSET COMPONENT",WO_Data_Masterlist[[#This Row],[ASSET COMPONENT]]), "N/A")</f>
        <v>N/A</v>
      </c>
      <c r="P47" s="322">
        <v>0</v>
      </c>
      <c r="Q47" s="347">
        <f>IFERROR(WO_Data_Masterlist[[#This Row],[ANNUAL ENERGY PER UNIT]]*WO_Data_Masterlist[[#This Row],[QUANTITY NON-LINEAR INFRASTRUCTURE]], 0)</f>
        <v>0</v>
      </c>
      <c r="R47" s="374" t="str">
        <f>IF(SUM(WO_Data_Masterlist[[#This Row],[QUANTITY LINEAR INFRASTRUCTURE]:[QUANTITY NON-LINEAR INFRASTRUCTURE]])&gt;0, "YES", "NO")</f>
        <v>NO</v>
      </c>
      <c r="S4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1355.7329655172414</v>
      </c>
    </row>
    <row r="48" spans="1:19" x14ac:dyDescent="0.25">
      <c r="A48" s="370" t="s">
        <v>172</v>
      </c>
      <c r="B48" s="370" t="s">
        <v>34</v>
      </c>
      <c r="C48" s="370" t="s">
        <v>108</v>
      </c>
      <c r="D48" s="370" t="s">
        <v>361</v>
      </c>
      <c r="E48" s="370" t="s">
        <v>173</v>
      </c>
      <c r="F48" s="320" t="s">
        <v>183</v>
      </c>
      <c r="G48" s="356">
        <v>3</v>
      </c>
      <c r="H48" s="348" t="s">
        <v>192</v>
      </c>
      <c r="I48" s="349">
        <v>3</v>
      </c>
      <c r="J48" s="350">
        <v>1</v>
      </c>
      <c r="K48" s="351">
        <v>0</v>
      </c>
      <c r="L48" s="352">
        <v>10</v>
      </c>
      <c r="M48" s="352">
        <v>50</v>
      </c>
      <c r="N48" s="358" t="s">
        <v>192</v>
      </c>
      <c r="O48" s="358" t="str">
        <f>IFERROR(GETPIVOTDATA("ASSET GROUP",'TABLE OF CONTENTS'!$P$20,"ASSET COMPONENT",WO_Data_Masterlist[[#This Row],[ASSET COMPONENT]]), "N/A")</f>
        <v>N/A</v>
      </c>
      <c r="P48" s="322">
        <v>0</v>
      </c>
      <c r="Q48" s="347">
        <f>IFERROR(WO_Data_Masterlist[[#This Row],[ANNUAL ENERGY PER UNIT]]*WO_Data_Masterlist[[#This Row],[QUANTITY NON-LINEAR INFRASTRUCTURE]], 0)</f>
        <v>0</v>
      </c>
      <c r="R48" s="374" t="str">
        <f>IF(SUM(WO_Data_Masterlist[[#This Row],[QUANTITY LINEAR INFRASTRUCTURE]:[QUANTITY NON-LINEAR INFRASTRUCTURE]])&gt;0, "YES", "NO")</f>
        <v>NO</v>
      </c>
      <c r="S48"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508.39986206896549</v>
      </c>
    </row>
    <row r="49" spans="1:19" x14ac:dyDescent="0.25">
      <c r="A49" s="370" t="s">
        <v>174</v>
      </c>
      <c r="B49" s="370" t="s">
        <v>34</v>
      </c>
      <c r="C49" s="370" t="s">
        <v>108</v>
      </c>
      <c r="D49" s="370" t="s">
        <v>361</v>
      </c>
      <c r="E49" s="370" t="s">
        <v>175</v>
      </c>
      <c r="F49" s="320" t="s">
        <v>180</v>
      </c>
      <c r="G49" s="356">
        <v>1</v>
      </c>
      <c r="H49" s="348" t="s">
        <v>192</v>
      </c>
      <c r="I49" s="349">
        <v>4</v>
      </c>
      <c r="J49" s="350">
        <v>1</v>
      </c>
      <c r="K49" s="352">
        <v>0</v>
      </c>
      <c r="L49" s="352">
        <v>10</v>
      </c>
      <c r="M49" s="352">
        <v>100</v>
      </c>
      <c r="N49" s="358" t="s">
        <v>192</v>
      </c>
      <c r="O49" s="358" t="str">
        <f>IFERROR(GETPIVOTDATA("ASSET GROUP",'TABLE OF CONTENTS'!$P$20,"ASSET COMPONENT",WO_Data_Masterlist[[#This Row],[ASSET COMPONENT]]), "N/A")</f>
        <v>N/A</v>
      </c>
      <c r="P49" s="322">
        <v>0</v>
      </c>
      <c r="Q49" s="347">
        <f>IFERROR(WO_Data_Masterlist[[#This Row],[ANNUAL ENERGY PER UNIT]]*WO_Data_Masterlist[[#This Row],[QUANTITY NON-LINEAR INFRASTRUCTURE]], 0)</f>
        <v>0</v>
      </c>
      <c r="R49" s="374" t="str">
        <f>IF(SUM(WO_Data_Masterlist[[#This Row],[QUANTITY LINEAR INFRASTRUCTURE]:[QUANTITY NON-LINEAR INFRASTRUCTURE]])&gt;0, "YES", "NO")</f>
        <v>NO</v>
      </c>
      <c r="S4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250.46662068965517</v>
      </c>
    </row>
    <row r="50" spans="1:19" x14ac:dyDescent="0.25">
      <c r="A50" s="370" t="s">
        <v>176</v>
      </c>
      <c r="B50" s="370" t="s">
        <v>34</v>
      </c>
      <c r="C50" s="370" t="s">
        <v>108</v>
      </c>
      <c r="D50" s="370" t="s">
        <v>361</v>
      </c>
      <c r="E50" s="370" t="s">
        <v>177</v>
      </c>
      <c r="F50" s="320" t="s">
        <v>187</v>
      </c>
      <c r="G50" s="359">
        <f>1/3</f>
        <v>0.33333333333333331</v>
      </c>
      <c r="H50" s="348" t="s">
        <v>192</v>
      </c>
      <c r="I50" s="349">
        <v>8</v>
      </c>
      <c r="J50" s="350">
        <v>1</v>
      </c>
      <c r="K50" s="352">
        <v>0</v>
      </c>
      <c r="L50" s="352">
        <v>50</v>
      </c>
      <c r="M50" s="352">
        <v>200</v>
      </c>
      <c r="N50" s="358" t="s">
        <v>192</v>
      </c>
      <c r="O50" s="358" t="str">
        <f>IFERROR(GETPIVOTDATA("ASSET GROUP",'TABLE OF CONTENTS'!$P$20,"ASSET COMPONENT",WO_Data_Masterlist[[#This Row],[ASSET COMPONENT]]), "N/A")</f>
        <v>N/A</v>
      </c>
      <c r="P50" s="322">
        <v>0</v>
      </c>
      <c r="Q50" s="347">
        <f>IFERROR(WO_Data_Masterlist[[#This Row],[ANNUAL ENERGY PER UNIT]]*WO_Data_Masterlist[[#This Row],[QUANTITY NON-LINEAR INFRASTRUCTURE]], 0)</f>
        <v>0</v>
      </c>
      <c r="R50" s="374" t="str">
        <f>IF(SUM(WO_Data_Masterlist[[#This Row],[QUANTITY LINEAR INFRASTRUCTURE]:[QUANTITY NON-LINEAR INFRASTRUCTURE]])&gt;0, "YES", "NO")</f>
        <v>NO</v>
      </c>
      <c r="S5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171.48887356321839</v>
      </c>
    </row>
    <row r="51" spans="1:19" x14ac:dyDescent="0.25">
      <c r="A51" s="370" t="s">
        <v>3</v>
      </c>
      <c r="B51" s="370" t="s">
        <v>26</v>
      </c>
      <c r="C51" s="370" t="s">
        <v>113</v>
      </c>
      <c r="D51" s="370" t="s">
        <v>102</v>
      </c>
      <c r="E51" s="370" t="s">
        <v>27</v>
      </c>
      <c r="F51" s="320" t="s">
        <v>180</v>
      </c>
      <c r="G51" s="320">
        <v>1</v>
      </c>
      <c r="H51" s="348" t="s">
        <v>192</v>
      </c>
      <c r="I51" s="349">
        <f>'ii. WO Linear Infr. Mnt Hours'!G21</f>
        <v>40</v>
      </c>
      <c r="J51" s="350">
        <f>WO_Data_Masterlist[[#This Row],[OPERATOR HOURS per TASK]]</f>
        <v>40</v>
      </c>
      <c r="K51" s="352">
        <v>0</v>
      </c>
      <c r="L51" s="352">
        <v>50</v>
      </c>
      <c r="M51" s="352">
        <v>200</v>
      </c>
      <c r="N51" s="360">
        <f>IFERROR(GETPIVOTDATA("LENGTH (m)",'2. ASSET INVENTORY - SANI MAIN'!$D$4,"ASSET COMPONENT","Main")/1000,0)</f>
        <v>5</v>
      </c>
      <c r="O51" s="358" t="str">
        <f>IFERROR(GETPIVOTDATA("ASSET GROUP",'TABLE OF CONTENTS'!$P$20,"ASSET COMPONENT",WO_Data_Masterlist[[#This Row],[ASSET COMPONENT]]), "N/A")</f>
        <v>N/A</v>
      </c>
      <c r="P51" s="322">
        <v>0</v>
      </c>
      <c r="Q51" s="347">
        <f>IFERROR(WO_Data_Masterlist[[#This Row],[ANNUAL ENERGY PER UNIT]]*WO_Data_Masterlist[[#This Row],[QUANTITY NON-LINEAR INFRASTRUCTURE]], 0)</f>
        <v>0</v>
      </c>
      <c r="R51" s="374" t="str">
        <f>IF(SUM(WO_Data_Masterlist[[#This Row],[QUANTITY LINEAR INFRASTRUCTURE]:[QUANTITY NON-LINEAR INFRASTRUCTURE]])&gt;0, "YES", "NO")</f>
        <v>YES</v>
      </c>
      <c r="S5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429.73296551724144</v>
      </c>
    </row>
    <row r="52" spans="1:19" x14ac:dyDescent="0.25">
      <c r="A52" s="370" t="s">
        <v>28</v>
      </c>
      <c r="B52" s="370" t="s">
        <v>26</v>
      </c>
      <c r="C52" s="370" t="s">
        <v>113</v>
      </c>
      <c r="D52" s="370" t="s">
        <v>102</v>
      </c>
      <c r="E52" s="370" t="s">
        <v>29</v>
      </c>
      <c r="F52" s="320" t="s">
        <v>187</v>
      </c>
      <c r="G52" s="359">
        <f>1/3</f>
        <v>0.33333333333333331</v>
      </c>
      <c r="H52" s="348" t="s">
        <v>192</v>
      </c>
      <c r="I52" s="349">
        <f>'ii. WO Linear Infr. Mnt Hours'!G27</f>
        <v>57</v>
      </c>
      <c r="J52" s="350">
        <f>WO_Data_Masterlist[[#This Row],[OPERATOR HOURS per TASK]]</f>
        <v>57</v>
      </c>
      <c r="K52" s="352">
        <v>0</v>
      </c>
      <c r="L52" s="352">
        <v>75</v>
      </c>
      <c r="M52" s="352">
        <v>0</v>
      </c>
      <c r="N52" s="360">
        <f>IFERROR(GETPIVOTDATA("LENGTH (m)",'2. ASSET INVENTORY - SANI MAIN'!$D$4,"ASSET COMPONENT","Main")/1000,0)</f>
        <v>5</v>
      </c>
      <c r="O52" s="358" t="str">
        <f>IFERROR(GETPIVOTDATA("ASSET GROUP",'TABLE OF CONTENTS'!$P$20,"ASSET COMPONENT",WO_Data_Masterlist[[#This Row],[ASSET COMPONENT]]), "N/A")</f>
        <v>N/A</v>
      </c>
      <c r="P52" s="322">
        <v>0</v>
      </c>
      <c r="Q52" s="347">
        <f>IFERROR(WO_Data_Masterlist[[#This Row],[ANNUAL ENERGY PER UNIT]]*WO_Data_Masterlist[[#This Row],[QUANTITY NON-LINEAR INFRASTRUCTURE]], 0)</f>
        <v>0</v>
      </c>
      <c r="R52" s="374" t="str">
        <f>IF(SUM(WO_Data_Masterlist[[#This Row],[QUANTITY LINEAR INFRASTRUCTURE]:[QUANTITY NON-LINEAR INFRASTRUCTURE]])&gt;0, "YES", "NO")</f>
        <v>YES</v>
      </c>
      <c r="S5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185.37315862068965</v>
      </c>
    </row>
    <row r="53" spans="1:19" x14ac:dyDescent="0.25">
      <c r="A53" s="370" t="s">
        <v>30</v>
      </c>
      <c r="B53" s="370" t="s">
        <v>26</v>
      </c>
      <c r="C53" s="370" t="s">
        <v>113</v>
      </c>
      <c r="D53" s="370" t="s">
        <v>102</v>
      </c>
      <c r="E53" s="370" t="s">
        <v>31</v>
      </c>
      <c r="F53" s="320" t="s">
        <v>188</v>
      </c>
      <c r="G53" s="359">
        <f>1/10</f>
        <v>0.1</v>
      </c>
      <c r="H53" s="359">
        <v>6.5</v>
      </c>
      <c r="I53" s="349">
        <f>'ii. WO Linear Infr. Mnt Hours'!G31</f>
        <v>11</v>
      </c>
      <c r="J53" s="350">
        <f>WO_Data_Masterlist[[#This Row],[OPERATOR HOURS per TASK]]</f>
        <v>11</v>
      </c>
      <c r="K53" s="357">
        <f>WO_Data_Masterlist[[#This Row],[CONTRACTOR COST / UNIT]]*SUM(Table1356[LENGTH (m)])</f>
        <v>32500</v>
      </c>
      <c r="L53" s="352">
        <v>0</v>
      </c>
      <c r="M53" s="352">
        <v>0</v>
      </c>
      <c r="N53" s="360">
        <f>IFERROR(GETPIVOTDATA("LENGTH (m)",'2. ASSET INVENTORY - SANI MAIN'!$D$4,"ASSET COMPONENT","Main")/1000,0)</f>
        <v>5</v>
      </c>
      <c r="O53" s="358" t="str">
        <f>IFERROR(GETPIVOTDATA("ASSET GROUP",'TABLE OF CONTENTS'!$P$20,"ASSET COMPONENT",WO_Data_Masterlist[[#This Row],[ASSET COMPONENT]]), "N/A")</f>
        <v>N/A</v>
      </c>
      <c r="P53" s="322">
        <v>0</v>
      </c>
      <c r="Q53" s="347">
        <f>IFERROR(WO_Data_Masterlist[[#This Row],[ANNUAL ENERGY PER UNIT]]*WO_Data_Masterlist[[#This Row],[QUANTITY NON-LINEAR INFRASTRUCTURE]], 0)</f>
        <v>0</v>
      </c>
      <c r="R53" s="374" t="str">
        <f>IF(SUM(WO_Data_Masterlist[[#This Row],[QUANTITY LINEAR INFRASTRUCTURE]:[QUANTITY NON-LINEAR INFRASTRUCTURE]])&gt;0, "YES", "NO")</f>
        <v>YES</v>
      </c>
      <c r="S5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660.4426565517241</v>
      </c>
    </row>
    <row r="54" spans="1:19" x14ac:dyDescent="0.25">
      <c r="A54" s="370" t="s">
        <v>32</v>
      </c>
      <c r="B54" s="370" t="s">
        <v>26</v>
      </c>
      <c r="C54" s="370" t="s">
        <v>113</v>
      </c>
      <c r="D54" s="370" t="s">
        <v>102</v>
      </c>
      <c r="E54" s="370" t="s">
        <v>33</v>
      </c>
      <c r="F54" s="320" t="s">
        <v>185</v>
      </c>
      <c r="G54" s="320">
        <v>1</v>
      </c>
      <c r="H54" s="348" t="s">
        <v>192</v>
      </c>
      <c r="I54" s="349">
        <v>0</v>
      </c>
      <c r="J54" s="354">
        <v>0</v>
      </c>
      <c r="K54" s="357">
        <v>1500</v>
      </c>
      <c r="L54" s="352">
        <v>0</v>
      </c>
      <c r="M54" s="352">
        <v>0</v>
      </c>
      <c r="N54" s="360">
        <f>IFERROR(GETPIVOTDATA("LENGTH (m)",'2. ASSET INVENTORY - SANI MAIN'!$D$4,"ASSET COMPONENT","Main")/1000,0)</f>
        <v>5</v>
      </c>
      <c r="O54" s="358" t="str">
        <f>IFERROR(GETPIVOTDATA("ASSET GROUP",'TABLE OF CONTENTS'!$P$20,"ASSET COMPONENT",WO_Data_Masterlist[[#This Row],[ASSET COMPONENT]]), "N/A")</f>
        <v>N/A</v>
      </c>
      <c r="P54" s="322">
        <v>0</v>
      </c>
      <c r="Q54" s="347">
        <f>IFERROR(WO_Data_Masterlist[[#This Row],[ANNUAL ENERGY PER UNIT]]*WO_Data_Masterlist[[#This Row],[QUANTITY NON-LINEAR INFRASTRUCTURE]], 0)</f>
        <v>0</v>
      </c>
      <c r="R54" s="374" t="str">
        <f>IF(SUM(WO_Data_Masterlist[[#This Row],[QUANTITY LINEAR INFRASTRUCTURE]:[QUANTITY NON-LINEAR INFRASTRUCTURE]])&gt;0, "YES", "NO")</f>
        <v>YES</v>
      </c>
      <c r="S5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300</v>
      </c>
    </row>
    <row r="55" spans="1:19" x14ac:dyDescent="0.25">
      <c r="A55" s="371" t="s">
        <v>340</v>
      </c>
      <c r="B55" s="370" t="s">
        <v>26</v>
      </c>
      <c r="C55" s="370" t="s">
        <v>113</v>
      </c>
      <c r="D55" s="370" t="s">
        <v>49</v>
      </c>
      <c r="E55" s="370" t="s">
        <v>341</v>
      </c>
      <c r="F55" s="320" t="s">
        <v>180</v>
      </c>
      <c r="G55" s="355">
        <v>1</v>
      </c>
      <c r="H55" s="348" t="s">
        <v>192</v>
      </c>
      <c r="I55" s="349">
        <f>'ii. WO Linear Infr. Mnt Hours'!G36</f>
        <v>1</v>
      </c>
      <c r="J55" s="354">
        <f>WO_Data_Masterlist[[#This Row],[OPERATOR HOURS per TASK]]</f>
        <v>1</v>
      </c>
      <c r="K55" s="357">
        <v>0</v>
      </c>
      <c r="L55" s="352">
        <f>'ii. WO Linear Infr. Mnt Hours'!L36</f>
        <v>100</v>
      </c>
      <c r="M55" s="352">
        <f>'ii. WO Linear Infr. Mnt Hours'!M36</f>
        <v>50</v>
      </c>
      <c r="N55" s="360">
        <f>IFERROR(GETPIVOTDATA("LENGTH (m)",'2. ASSET INVENTORY - SANI MAIN'!$D$4,"ASSET COMPONENT","Forcemain")/1000,0)</f>
        <v>0</v>
      </c>
      <c r="O55" s="358" t="str">
        <f>IFERROR(GETPIVOTDATA("ASSET GROUP",'TABLE OF CONTENTS'!$P$20,"ASSET COMPONENT",WO_Data_Masterlist[[#This Row],[ASSET COMPONENT]]), "N/A")</f>
        <v>N/A</v>
      </c>
      <c r="P55" s="322">
        <v>0</v>
      </c>
      <c r="Q55" s="347">
        <f>IFERROR(WO_Data_Masterlist[[#This Row],[ANNUAL ENERGY PER UNIT]]*WO_Data_Masterlist[[#This Row],[QUANTITY NON-LINEAR INFRASTRUCTURE]], 0)</f>
        <v>0</v>
      </c>
      <c r="R55" s="374" t="str">
        <f>IF(SUM(WO_Data_Masterlist[[#This Row],[QUANTITY LINEAR INFRASTRUCTURE]:[QUANTITY NON-LINEAR INFRASTRUCTURE]])&gt;0, "YES", "NO")</f>
        <v>NO</v>
      </c>
      <c r="S5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0</v>
      </c>
    </row>
    <row r="56" spans="1:19" x14ac:dyDescent="0.25">
      <c r="A56" s="371" t="s">
        <v>394</v>
      </c>
      <c r="B56" s="370" t="s">
        <v>26</v>
      </c>
      <c r="C56" s="370" t="s">
        <v>113</v>
      </c>
      <c r="D56" s="370" t="s">
        <v>396</v>
      </c>
      <c r="E56" s="370" t="s">
        <v>397</v>
      </c>
      <c r="F56" s="320" t="s">
        <v>180</v>
      </c>
      <c r="G56" s="355">
        <v>1</v>
      </c>
      <c r="H56" s="348" t="s">
        <v>192</v>
      </c>
      <c r="I56" s="349">
        <v>1</v>
      </c>
      <c r="J56" s="354">
        <f>WO_Data_Masterlist[[#This Row],[OPERATOR HOURS per TASK]]</f>
        <v>1</v>
      </c>
      <c r="K56" s="357">
        <v>1500</v>
      </c>
      <c r="L56" s="352">
        <v>0</v>
      </c>
      <c r="M56" s="352">
        <v>0</v>
      </c>
      <c r="N56" s="322" t="s">
        <v>192</v>
      </c>
      <c r="O56" s="358" t="str">
        <f>IFERROR(GETPIVOTDATA("ASSET GROUP",'TABLE OF CONTENTS'!$P$20,"ASSET COMPONENT",WO_Data_Masterlist[[#This Row],[ASSET COMPONENT]]), "N/A")</f>
        <v>N/A</v>
      </c>
      <c r="P56" s="322">
        <v>0</v>
      </c>
      <c r="Q56" s="347">
        <f>IFERROR(WO_Data_Masterlist[[#This Row],[ANNUAL ENERGY PER UNIT]]*WO_Data_Masterlist[[#This Row],[QUANTITY NON-LINEAR INFRASTRUCTURE]], 0)</f>
        <v>0</v>
      </c>
      <c r="R56" s="374" t="str">
        <f>IF(SUM(WO_Data_Masterlist[[#This Row],[QUANTITY LINEAR INFRASTRUCTURE]:[QUANTITY NON-LINEAR INFRASTRUCTURE]])&gt;0, "YES", "NO")</f>
        <v>NO</v>
      </c>
      <c r="S5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1547.4666206896552</v>
      </c>
    </row>
    <row r="57" spans="1:19" x14ac:dyDescent="0.25">
      <c r="A57" s="371" t="s">
        <v>395</v>
      </c>
      <c r="B57" s="370" t="s">
        <v>26</v>
      </c>
      <c r="C57" s="370" t="s">
        <v>113</v>
      </c>
      <c r="D57" s="370" t="s">
        <v>398</v>
      </c>
      <c r="E57" s="370" t="s">
        <v>399</v>
      </c>
      <c r="F57" s="320" t="s">
        <v>180</v>
      </c>
      <c r="G57" s="355">
        <v>1</v>
      </c>
      <c r="H57" s="348" t="s">
        <v>192</v>
      </c>
      <c r="I57" s="349">
        <v>0.5</v>
      </c>
      <c r="J57" s="354">
        <f>WO_Data_Masterlist[[#This Row],[OPERATOR HOURS per TASK]]</f>
        <v>0.5</v>
      </c>
      <c r="K57" s="357">
        <v>0</v>
      </c>
      <c r="L57" s="352">
        <v>0</v>
      </c>
      <c r="M57" s="352">
        <v>0</v>
      </c>
      <c r="N57" s="322" t="s">
        <v>192</v>
      </c>
      <c r="O57" s="358">
        <f>IFERROR(GETPIVOTDATA("ASSET GROUP",'TABLE OF CONTENTS'!$P$20,"ASSET COMPONENT",WO_Data_Masterlist[[#This Row],[ASSET COMPONENT]]), "N/A")</f>
        <v>1</v>
      </c>
      <c r="P57" s="322">
        <v>0</v>
      </c>
      <c r="Q57" s="347">
        <f>IFERROR(WO_Data_Masterlist[[#This Row],[ANNUAL ENERGY PER UNIT]]*WO_Data_Masterlist[[#This Row],[QUANTITY NON-LINEAR INFRASTRUCTURE]], 0)</f>
        <v>0</v>
      </c>
      <c r="R57" s="374" t="str">
        <f>IF(SUM(WO_Data_Masterlist[[#This Row],[QUANTITY LINEAR INFRASTRUCTURE]:[QUANTITY NON-LINEAR INFRASTRUCTURE]])&gt;0, "YES", "NO")</f>
        <v>YES</v>
      </c>
      <c r="S5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23.733310344827586</v>
      </c>
    </row>
    <row r="58" spans="1:19" s="355" customFormat="1" x14ac:dyDescent="0.25">
      <c r="A58" s="372" t="s">
        <v>39</v>
      </c>
      <c r="B58" s="372" t="s">
        <v>26</v>
      </c>
      <c r="C58" s="372" t="s">
        <v>113</v>
      </c>
      <c r="D58" s="372" t="s">
        <v>105</v>
      </c>
      <c r="E58" s="372" t="s">
        <v>317</v>
      </c>
      <c r="F58" s="355" t="s">
        <v>181</v>
      </c>
      <c r="G58" s="356">
        <v>40</v>
      </c>
      <c r="H58" s="361" t="s">
        <v>192</v>
      </c>
      <c r="I58" s="349">
        <v>1</v>
      </c>
      <c r="J58" s="354">
        <v>1</v>
      </c>
      <c r="K58" s="362">
        <v>0</v>
      </c>
      <c r="L58" s="362">
        <v>0</v>
      </c>
      <c r="M58" s="362">
        <v>50</v>
      </c>
      <c r="N58" s="322" t="s">
        <v>192</v>
      </c>
      <c r="O58" s="341" t="str">
        <f>IFERROR(GETPIVOTDATA("ASSET GROUP",'TABLE OF CONTENTS'!$P$20,"ASSET COMPONENT",WO_Data_Masterlist[[#This Row],[ASSET COMPONENT]]), "N/A")</f>
        <v>N/A</v>
      </c>
      <c r="P58" s="363">
        <v>0</v>
      </c>
      <c r="Q58" s="364">
        <f>IFERROR(WO_Data_Masterlist[[#This Row],[ANNUAL ENERGY PER UNIT]]*WO_Data_Masterlist[[#This Row],[QUANTITY NON-LINEAR INFRASTRUCTURE]], 0)</f>
        <v>0</v>
      </c>
      <c r="R58" s="375" t="str">
        <f>IF(SUM(WO_Data_Masterlist[[#This Row],[QUANTITY LINEAR INFRASTRUCTURE]:[QUANTITY NON-LINEAR INFRASTRUCTURE]])&gt;0, "YES", "NO")</f>
        <v>NO</v>
      </c>
      <c r="S58" s="375">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3898.6648275862071</v>
      </c>
    </row>
    <row r="59" spans="1:19" x14ac:dyDescent="0.25">
      <c r="A59" s="370" t="s">
        <v>40</v>
      </c>
      <c r="B59" s="370" t="s">
        <v>26</v>
      </c>
      <c r="C59" s="370" t="s">
        <v>113</v>
      </c>
      <c r="D59" s="370" t="s">
        <v>105</v>
      </c>
      <c r="E59" s="370" t="s">
        <v>318</v>
      </c>
      <c r="F59" s="320" t="s">
        <v>182</v>
      </c>
      <c r="G59" s="356">
        <v>8</v>
      </c>
      <c r="H59" s="348" t="s">
        <v>192</v>
      </c>
      <c r="I59" s="349">
        <v>1.5</v>
      </c>
      <c r="J59" s="354">
        <v>1</v>
      </c>
      <c r="K59" s="357">
        <v>0</v>
      </c>
      <c r="L59" s="352">
        <v>0</v>
      </c>
      <c r="M59" s="352">
        <v>50</v>
      </c>
      <c r="N59" s="322" t="s">
        <v>192</v>
      </c>
      <c r="O59" s="358" t="str">
        <f>IFERROR(GETPIVOTDATA("ASSET GROUP",'TABLE OF CONTENTS'!$P$20,"ASSET COMPONENT",WO_Data_Masterlist[[#This Row],[ASSET COMPONENT]]), "N/A")</f>
        <v>N/A</v>
      </c>
      <c r="P59" s="322">
        <v>0</v>
      </c>
      <c r="Q59" s="347">
        <f>IFERROR(WO_Data_Masterlist[[#This Row],[ANNUAL ENERGY PER UNIT]]*WO_Data_Masterlist[[#This Row],[QUANTITY NON-LINEAR INFRASTRUCTURE]], 0)</f>
        <v>0</v>
      </c>
      <c r="R59" s="374" t="str">
        <f>IF(SUM(WO_Data_Masterlist[[#This Row],[QUANTITY LINEAR INFRASTRUCTURE]:[QUANTITY NON-LINEAR INFRASTRUCTURE]])&gt;0, "YES", "NO")</f>
        <v>NO</v>
      </c>
      <c r="S5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903.73296551724138</v>
      </c>
    </row>
    <row r="60" spans="1:19" x14ac:dyDescent="0.25">
      <c r="A60" s="370" t="s">
        <v>41</v>
      </c>
      <c r="B60" s="370" t="s">
        <v>26</v>
      </c>
      <c r="C60" s="370" t="s">
        <v>113</v>
      </c>
      <c r="D60" s="370" t="s">
        <v>105</v>
      </c>
      <c r="E60" s="370" t="s">
        <v>319</v>
      </c>
      <c r="F60" s="320" t="s">
        <v>183</v>
      </c>
      <c r="G60" s="356">
        <v>2</v>
      </c>
      <c r="H60" s="348" t="s">
        <v>192</v>
      </c>
      <c r="I60" s="349">
        <v>3</v>
      </c>
      <c r="J60" s="354">
        <v>1</v>
      </c>
      <c r="K60" s="357">
        <v>0</v>
      </c>
      <c r="L60" s="352">
        <v>50</v>
      </c>
      <c r="M60" s="352">
        <v>150</v>
      </c>
      <c r="N60" s="322" t="s">
        <v>192</v>
      </c>
      <c r="O60" s="358" t="str">
        <f>IFERROR(GETPIVOTDATA("ASSET GROUP",'TABLE OF CONTENTS'!$P$20,"ASSET COMPONENT",WO_Data_Masterlist[[#This Row],[ASSET COMPONENT]]), "N/A")</f>
        <v>N/A</v>
      </c>
      <c r="P60" s="322">
        <v>0</v>
      </c>
      <c r="Q60" s="347">
        <f>IFERROR(WO_Data_Masterlist[[#This Row],[ANNUAL ENERGY PER UNIT]]*WO_Data_Masterlist[[#This Row],[QUANTITY NON-LINEAR INFRASTRUCTURE]], 0)</f>
        <v>0</v>
      </c>
      <c r="R60" s="374" t="str">
        <f>IF(SUM(WO_Data_Masterlist[[#This Row],[QUANTITY LINEAR INFRASTRUCTURE]:[QUANTITY NON-LINEAR INFRASTRUCTURE]])&gt;0, "YES", "NO")</f>
        <v>NO</v>
      </c>
      <c r="S6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618.9332413793104</v>
      </c>
    </row>
    <row r="61" spans="1:19" x14ac:dyDescent="0.25">
      <c r="A61" s="370" t="s">
        <v>42</v>
      </c>
      <c r="B61" s="370" t="s">
        <v>26</v>
      </c>
      <c r="C61" s="370" t="s">
        <v>113</v>
      </c>
      <c r="D61" s="370" t="s">
        <v>105</v>
      </c>
      <c r="E61" s="370" t="s">
        <v>320</v>
      </c>
      <c r="F61" s="320" t="s">
        <v>186</v>
      </c>
      <c r="G61" s="356">
        <v>1</v>
      </c>
      <c r="H61" s="348" t="s">
        <v>192</v>
      </c>
      <c r="I61" s="349">
        <v>6</v>
      </c>
      <c r="J61" s="354">
        <v>1</v>
      </c>
      <c r="K61" s="357">
        <v>0</v>
      </c>
      <c r="L61" s="352">
        <v>50</v>
      </c>
      <c r="M61" s="352">
        <v>100</v>
      </c>
      <c r="N61" s="322" t="s">
        <v>192</v>
      </c>
      <c r="O61" s="358" t="str">
        <f>IFERROR(GETPIVOTDATA("ASSET GROUP",'TABLE OF CONTENTS'!$P$20,"ASSET COMPONENT",WO_Data_Masterlist[[#This Row],[ASSET COMPONENT]]), "N/A")</f>
        <v>N/A</v>
      </c>
      <c r="P61" s="322">
        <v>0</v>
      </c>
      <c r="Q61" s="347">
        <f>IFERROR(WO_Data_Masterlist[[#This Row],[ANNUAL ENERGY PER UNIT]]*WO_Data_Masterlist[[#This Row],[QUANTITY NON-LINEAR INFRASTRUCTURE]], 0)</f>
        <v>0</v>
      </c>
      <c r="R61" s="374" t="str">
        <f>IF(SUM(WO_Data_Masterlist[[#This Row],[QUANTITY LINEAR INFRASTRUCTURE]:[QUANTITY NON-LINEAR INFRASTRUCTURE]])&gt;0, "YES", "NO")</f>
        <v>NO</v>
      </c>
      <c r="S6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352.4666206896552</v>
      </c>
    </row>
    <row r="62" spans="1:19" x14ac:dyDescent="0.25">
      <c r="A62" s="370" t="s">
        <v>43</v>
      </c>
      <c r="B62" s="370" t="s">
        <v>26</v>
      </c>
      <c r="C62" s="370" t="s">
        <v>113</v>
      </c>
      <c r="D62" s="370" t="s">
        <v>105</v>
      </c>
      <c r="E62" s="370" t="s">
        <v>321</v>
      </c>
      <c r="F62" s="320" t="s">
        <v>180</v>
      </c>
      <c r="G62" s="356">
        <v>1</v>
      </c>
      <c r="H62" s="348" t="s">
        <v>192</v>
      </c>
      <c r="I62" s="349">
        <v>8</v>
      </c>
      <c r="J62" s="350">
        <v>1</v>
      </c>
      <c r="K62" s="352">
        <v>0</v>
      </c>
      <c r="L62" s="352">
        <v>600</v>
      </c>
      <c r="M62" s="352">
        <v>900</v>
      </c>
      <c r="N62" s="322" t="s">
        <v>192</v>
      </c>
      <c r="O62" s="358" t="str">
        <f>IFERROR(GETPIVOTDATA("ASSET GROUP",'TABLE OF CONTENTS'!$P$20,"ASSET COMPONENT",WO_Data_Masterlist[[#This Row],[ASSET COMPONENT]]), "N/A")</f>
        <v>N/A</v>
      </c>
      <c r="P62" s="322">
        <v>1300</v>
      </c>
      <c r="Q62" s="347">
        <f>IFERROR(WO_Data_Masterlist[[#This Row],[ANNUAL ENERGY PER UNIT]]*WO_Data_Masterlist[[#This Row],[QUANTITY NON-LINEAR INFRASTRUCTURE]], 0)</f>
        <v>0</v>
      </c>
      <c r="R62" s="374" t="str">
        <f>IF(SUM(WO_Data_Masterlist[[#This Row],[QUANTITY LINEAR INFRASTRUCTURE]:[QUANTITY NON-LINEAR INFRASTRUCTURE]])&gt;0, "YES", "NO")</f>
        <v>NO</v>
      </c>
      <c r="S6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3064.4666206896554</v>
      </c>
    </row>
    <row r="63" spans="1:19" x14ac:dyDescent="0.25">
      <c r="A63" s="371" t="s">
        <v>44</v>
      </c>
      <c r="B63" s="370" t="s">
        <v>26</v>
      </c>
      <c r="C63" s="370" t="s">
        <v>113</v>
      </c>
      <c r="D63" s="370" t="s">
        <v>105</v>
      </c>
      <c r="E63" s="370" t="s">
        <v>269</v>
      </c>
      <c r="F63" s="320" t="s">
        <v>180</v>
      </c>
      <c r="G63" s="320">
        <v>1</v>
      </c>
      <c r="H63" s="348" t="s">
        <v>192</v>
      </c>
      <c r="I63" s="349">
        <v>1</v>
      </c>
      <c r="J63" s="354">
        <v>1</v>
      </c>
      <c r="K63" s="351">
        <v>2500</v>
      </c>
      <c r="L63" s="352">
        <v>0</v>
      </c>
      <c r="M63" s="352">
        <v>0</v>
      </c>
      <c r="N63" s="322" t="s">
        <v>192</v>
      </c>
      <c r="O63" s="358" t="str">
        <f>IFERROR(GETPIVOTDATA("ASSET GROUP",'TABLE OF CONTENTS'!$P$20,"ASSET COMPONENT",WO_Data_Masterlist[[#This Row],[ASSET COMPONENT]]), "N/A")</f>
        <v>N/A</v>
      </c>
      <c r="P63" s="322">
        <v>0</v>
      </c>
      <c r="Q63" s="347">
        <f>IFERROR(WO_Data_Masterlist[[#This Row],[ANNUAL ENERGY PER UNIT]]*WO_Data_Masterlist[[#This Row],[QUANTITY NON-LINEAR INFRASTRUCTURE]], 0)</f>
        <v>0</v>
      </c>
      <c r="R63" s="374" t="str">
        <f>IF(SUM(WO_Data_Masterlist[[#This Row],[QUANTITY LINEAR INFRASTRUCTURE]:[QUANTITY NON-LINEAR INFRASTRUCTURE]])&gt;0, "YES", "NO")</f>
        <v>NO</v>
      </c>
      <c r="S6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2547.466620689655</v>
      </c>
    </row>
    <row r="64" spans="1:19" x14ac:dyDescent="0.25">
      <c r="A64" s="370" t="s">
        <v>144</v>
      </c>
      <c r="B64" s="370" t="s">
        <v>146</v>
      </c>
      <c r="C64" s="370" t="s">
        <v>147</v>
      </c>
      <c r="D64" s="370" t="s">
        <v>148</v>
      </c>
      <c r="E64" s="370" t="s">
        <v>134</v>
      </c>
      <c r="F64" s="320" t="s">
        <v>182</v>
      </c>
      <c r="G64" s="320">
        <v>12</v>
      </c>
      <c r="H64" s="348" t="s">
        <v>192</v>
      </c>
      <c r="I64" s="349">
        <v>1</v>
      </c>
      <c r="J64" s="350">
        <v>0</v>
      </c>
      <c r="K64" s="351">
        <v>0</v>
      </c>
      <c r="L64" s="352">
        <v>0</v>
      </c>
      <c r="M64" s="352">
        <v>50</v>
      </c>
      <c r="N64" s="322" t="s">
        <v>192</v>
      </c>
      <c r="O64" s="358" t="str">
        <f>IFERROR(GETPIVOTDATA("ASSET GROUP",'TABLE OF CONTENTS'!$P$20,"ASSET COMPONENT",WO_Data_Masterlist[[#This Row],[ASSET COMPONENT]]), "N/A")</f>
        <v>N/A</v>
      </c>
      <c r="P64" s="322">
        <v>0</v>
      </c>
      <c r="Q64" s="347">
        <f>IFERROR(WO_Data_Masterlist[[#This Row],[ANNUAL ENERGY PER UNIT]]*WO_Data_Masterlist[[#This Row],[QUANTITY NON-LINEAR INFRASTRUCTURE]], 0)</f>
        <v>0</v>
      </c>
      <c r="R64" s="374" t="str">
        <f>IF(SUM(WO_Data_Masterlist[[#This Row],[QUANTITY LINEAR INFRASTRUCTURE]:[QUANTITY NON-LINEAR INFRASTRUCTURE]])&gt;0, "YES", "NO")</f>
        <v>NO</v>
      </c>
      <c r="S6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972</v>
      </c>
    </row>
    <row r="65" spans="1:19" x14ac:dyDescent="0.25">
      <c r="A65" s="371" t="s">
        <v>145</v>
      </c>
      <c r="B65" s="370" t="s">
        <v>146</v>
      </c>
      <c r="C65" s="370" t="s">
        <v>147</v>
      </c>
      <c r="D65" s="370" t="s">
        <v>148</v>
      </c>
      <c r="E65" s="370" t="s">
        <v>149</v>
      </c>
      <c r="F65" s="320" t="s">
        <v>185</v>
      </c>
      <c r="G65" s="320">
        <v>1</v>
      </c>
      <c r="H65" s="348" t="s">
        <v>192</v>
      </c>
      <c r="I65" s="349">
        <v>2</v>
      </c>
      <c r="J65" s="354">
        <v>0</v>
      </c>
      <c r="K65" s="351">
        <v>600</v>
      </c>
      <c r="L65" s="352">
        <v>0</v>
      </c>
      <c r="M65" s="352">
        <v>0</v>
      </c>
      <c r="N65" s="322" t="s">
        <v>192</v>
      </c>
      <c r="O65" s="358" t="str">
        <f>IFERROR(GETPIVOTDATA("ASSET GROUP",'TABLE OF CONTENTS'!$P$20,"ASSET COMPONENT",WO_Data_Masterlist[[#This Row],[ASSET COMPONENT]]), "N/A")</f>
        <v>N/A</v>
      </c>
      <c r="P65" s="322">
        <v>0</v>
      </c>
      <c r="Q65" s="347">
        <f>IFERROR(WO_Data_Masterlist[[#This Row],[ANNUAL ENERGY PER UNIT]]*WO_Data_Masterlist[[#This Row],[QUANTITY NON-LINEAR INFRASTRUCTURE]], 0)</f>
        <v>0</v>
      </c>
      <c r="R65" s="374" t="str">
        <f>IF(SUM(WO_Data_Masterlist[[#This Row],[QUANTITY LINEAR INFRASTRUCTURE]:[QUANTITY NON-LINEAR INFRASTRUCTURE]])&gt;0, "YES", "NO")</f>
        <v>NO</v>
      </c>
      <c r="S6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662</v>
      </c>
    </row>
    <row r="66" spans="1:19" x14ac:dyDescent="0.25">
      <c r="A66" s="371" t="s">
        <v>135</v>
      </c>
      <c r="B66" s="370" t="s">
        <v>26</v>
      </c>
      <c r="C66" s="370" t="s">
        <v>107</v>
      </c>
      <c r="D66" s="370" t="s">
        <v>106</v>
      </c>
      <c r="E66" s="370" t="s">
        <v>255</v>
      </c>
      <c r="F66" s="320" t="s">
        <v>256</v>
      </c>
      <c r="G66" s="356">
        <v>2</v>
      </c>
      <c r="H66" s="348" t="s">
        <v>192</v>
      </c>
      <c r="I66" s="349">
        <v>3</v>
      </c>
      <c r="J66" s="354">
        <v>0.5</v>
      </c>
      <c r="K66" s="357">
        <v>0</v>
      </c>
      <c r="L66" s="362">
        <v>100</v>
      </c>
      <c r="M66" s="362">
        <v>150</v>
      </c>
      <c r="N66" s="322" t="s">
        <v>192</v>
      </c>
      <c r="O66" s="341" t="str">
        <f>IFERROR(GETPIVOTDATA("ASSET GROUP",'TABLE OF CONTENTS'!$P$20,"ASSET COMPONENT",WO_Data_Masterlist[[#This Row],[ASSET COMPONENT]]), "N/A")</f>
        <v>N/A</v>
      </c>
      <c r="P66" s="363">
        <v>0</v>
      </c>
      <c r="Q66" s="364">
        <f>IFERROR(WO_Data_Masterlist[[#This Row],[ANNUAL ENERGY PER UNIT]]*WO_Data_Masterlist[[#This Row],[QUANTITY NON-LINEAR INFRASTRUCTURE]], 0)</f>
        <v>0</v>
      </c>
      <c r="R66" s="374" t="str">
        <f>IF(SUM(WO_Data_Masterlist[[#This Row],[QUANTITY LINEAR INFRASTRUCTURE]:[QUANTITY NON-LINEAR INFRASTRUCTURE]])&gt;0, "YES", "NO")</f>
        <v>NO</v>
      </c>
      <c r="S6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702.4666206896552</v>
      </c>
    </row>
    <row r="67" spans="1:19" x14ac:dyDescent="0.25">
      <c r="A67" s="371" t="s">
        <v>270</v>
      </c>
      <c r="B67" s="370" t="s">
        <v>26</v>
      </c>
      <c r="C67" s="370" t="s">
        <v>107</v>
      </c>
      <c r="D67" s="370" t="s">
        <v>106</v>
      </c>
      <c r="E67" s="370" t="s">
        <v>271</v>
      </c>
      <c r="F67" s="320" t="s">
        <v>182</v>
      </c>
      <c r="G67" s="356">
        <v>10</v>
      </c>
      <c r="H67" s="348" t="s">
        <v>192</v>
      </c>
      <c r="I67" s="349">
        <v>1.5</v>
      </c>
      <c r="J67" s="354">
        <v>1</v>
      </c>
      <c r="K67" s="357">
        <v>0</v>
      </c>
      <c r="L67" s="362">
        <v>100</v>
      </c>
      <c r="M67" s="362">
        <v>100</v>
      </c>
      <c r="N67" s="322" t="s">
        <v>192</v>
      </c>
      <c r="O67" s="341" t="str">
        <f>IFERROR(GETPIVOTDATA("ASSET GROUP",'TABLE OF CONTENTS'!$P$20,"ASSET COMPONENT",WO_Data_Masterlist[[#This Row],[ASSET COMPONENT]]), "N/A")</f>
        <v>N/A</v>
      </c>
      <c r="P67" s="363">
        <v>0</v>
      </c>
      <c r="Q67" s="364">
        <f>IFERROR(WO_Data_Masterlist[[#This Row],[ANNUAL ENERGY PER UNIT]]*WO_Data_Masterlist[[#This Row],[QUANTITY NON-LINEAR INFRASTRUCTURE]], 0)</f>
        <v>0</v>
      </c>
      <c r="R67" s="374" t="str">
        <f>IF(SUM(WO_Data_Masterlist[[#This Row],[QUANTITY LINEAR INFRASTRUCTURE]:[QUANTITY NON-LINEAR INFRASTRUCTURE]])&gt;0, "YES", "NO")</f>
        <v>NO</v>
      </c>
      <c r="S6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2629.666206896552</v>
      </c>
    </row>
    <row r="68" spans="1:19" x14ac:dyDescent="0.25">
      <c r="A68" s="371" t="s">
        <v>136</v>
      </c>
      <c r="B68" s="370" t="s">
        <v>26</v>
      </c>
      <c r="C68" s="370" t="s">
        <v>107</v>
      </c>
      <c r="D68" s="370" t="s">
        <v>110</v>
      </c>
      <c r="E68" s="370" t="s">
        <v>257</v>
      </c>
      <c r="F68" s="320" t="s">
        <v>508</v>
      </c>
      <c r="G68" s="320">
        <f>1/5</f>
        <v>0.2</v>
      </c>
      <c r="H68" s="348" t="s">
        <v>192</v>
      </c>
      <c r="I68" s="349">
        <v>1</v>
      </c>
      <c r="J68" s="354">
        <v>0.5</v>
      </c>
      <c r="K68" s="357">
        <f>2500*WO_Data_Masterlist[[#This Row],[FREQUENCY (TIMES PER YEAR)]]</f>
        <v>500</v>
      </c>
      <c r="L68" s="362">
        <v>0</v>
      </c>
      <c r="M68" s="362">
        <v>0</v>
      </c>
      <c r="N68" s="322" t="s">
        <v>192</v>
      </c>
      <c r="O68" s="341" t="str">
        <f>IFERROR(GETPIVOTDATA("ASSET GROUP",'TABLE OF CONTENTS'!$P$20,"ASSET COMPONENT",WO_Data_Masterlist[[#This Row],[ASSET COMPONENT]]), "N/A")</f>
        <v>N/A</v>
      </c>
      <c r="P68" s="363">
        <v>0</v>
      </c>
      <c r="Q68" s="364">
        <f>IFERROR(WO_Data_Masterlist[[#This Row],[ANNUAL ENERGY PER UNIT]]*WO_Data_Masterlist[[#This Row],[QUANTITY NON-LINEAR INFRASTRUCTURE]], 0)</f>
        <v>0</v>
      </c>
      <c r="R68" s="374" t="str">
        <f>IF(SUM(WO_Data_Masterlist[[#This Row],[QUANTITY LINEAR INFRASTRUCTURE]:[QUANTITY NON-LINEAR INFRASTRUCTURE]])&gt;0, "YES", "NO")</f>
        <v>NO</v>
      </c>
      <c r="S68"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107.84666206896553</v>
      </c>
    </row>
    <row r="69" spans="1:19" x14ac:dyDescent="0.25">
      <c r="A69" s="371" t="s">
        <v>137</v>
      </c>
      <c r="B69" s="370" t="s">
        <v>26</v>
      </c>
      <c r="C69" s="370" t="s">
        <v>107</v>
      </c>
      <c r="D69" s="370" t="s">
        <v>110</v>
      </c>
      <c r="E69" s="370" t="s">
        <v>464</v>
      </c>
      <c r="F69" s="320" t="s">
        <v>183</v>
      </c>
      <c r="G69" s="356">
        <v>2</v>
      </c>
      <c r="H69" s="361" t="s">
        <v>192</v>
      </c>
      <c r="I69" s="349">
        <v>1</v>
      </c>
      <c r="J69" s="354">
        <v>0.5</v>
      </c>
      <c r="K69" s="357">
        <v>0</v>
      </c>
      <c r="L69" s="362">
        <v>50</v>
      </c>
      <c r="M69" s="362">
        <v>50</v>
      </c>
      <c r="N69" s="322" t="s">
        <v>192</v>
      </c>
      <c r="O69" s="341" t="str">
        <f>IFERROR(GETPIVOTDATA("ASSET GROUP",'TABLE OF CONTENTS'!$P$20,"ASSET COMPONENT",WO_Data_Masterlist[[#This Row],[ASSET COMPONENT]]), "N/A")</f>
        <v>N/A</v>
      </c>
      <c r="P69" s="363">
        <v>0</v>
      </c>
      <c r="Q69" s="364">
        <f>IFERROR(WO_Data_Masterlist[[#This Row],[ANNUAL ENERGY PER UNIT]]*WO_Data_Masterlist[[#This Row],[QUANTITY NON-LINEAR INFRASTRUCTURE]], 0)</f>
        <v>0</v>
      </c>
      <c r="R69" s="374" t="str">
        <f>IF(SUM(WO_Data_Masterlist[[#This Row],[QUANTITY LINEAR INFRASTRUCTURE]:[QUANTITY NON-LINEAR INFRASTRUCTURE]])&gt;0, "YES", "NO")</f>
        <v>NO</v>
      </c>
      <c r="S6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278.4666206896552</v>
      </c>
    </row>
    <row r="70" spans="1:19" x14ac:dyDescent="0.25">
      <c r="A70" s="371" t="s">
        <v>138</v>
      </c>
      <c r="B70" s="370" t="s">
        <v>26</v>
      </c>
      <c r="C70" s="370" t="s">
        <v>107</v>
      </c>
      <c r="D70" s="370" t="s">
        <v>110</v>
      </c>
      <c r="E70" s="370" t="s">
        <v>258</v>
      </c>
      <c r="F70" s="320" t="s">
        <v>256</v>
      </c>
      <c r="G70" s="356">
        <v>2</v>
      </c>
      <c r="H70" s="361" t="s">
        <v>192</v>
      </c>
      <c r="I70" s="349">
        <v>3</v>
      </c>
      <c r="J70" s="354">
        <v>0.5</v>
      </c>
      <c r="K70" s="357">
        <v>0</v>
      </c>
      <c r="L70" s="362">
        <v>50</v>
      </c>
      <c r="M70" s="362">
        <v>300</v>
      </c>
      <c r="N70" s="322" t="s">
        <v>192</v>
      </c>
      <c r="O70" s="341" t="str">
        <f>IFERROR(GETPIVOTDATA("ASSET GROUP",'TABLE OF CONTENTS'!$P$20,"ASSET COMPONENT",WO_Data_Masterlist[[#This Row],[ASSET COMPONENT]]), "N/A")</f>
        <v>N/A</v>
      </c>
      <c r="P70" s="363">
        <v>0</v>
      </c>
      <c r="Q70" s="364">
        <f>IFERROR(WO_Data_Masterlist[[#This Row],[ANNUAL ENERGY PER UNIT]]*WO_Data_Masterlist[[#This Row],[QUANTITY NON-LINEAR INFRASTRUCTURE]], 0)</f>
        <v>0</v>
      </c>
      <c r="R70" s="374" t="str">
        <f>IF(SUM(WO_Data_Masterlist[[#This Row],[QUANTITY LINEAR INFRASTRUCTURE]:[QUANTITY NON-LINEAR INFRASTRUCTURE]])&gt;0, "YES", "NO")</f>
        <v>NO</v>
      </c>
      <c r="S7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902.4666206896552</v>
      </c>
    </row>
    <row r="71" spans="1:19" x14ac:dyDescent="0.25">
      <c r="A71" s="371" t="s">
        <v>296</v>
      </c>
      <c r="B71" s="370" t="s">
        <v>26</v>
      </c>
      <c r="C71" s="370" t="s">
        <v>107</v>
      </c>
      <c r="D71" s="370" t="s">
        <v>297</v>
      </c>
      <c r="E71" s="370" t="s">
        <v>298</v>
      </c>
      <c r="F71" s="320" t="s">
        <v>184</v>
      </c>
      <c r="G71" s="355">
        <v>365</v>
      </c>
      <c r="H71" s="361" t="s">
        <v>192</v>
      </c>
      <c r="I71" s="349">
        <v>0.25</v>
      </c>
      <c r="J71" s="354">
        <v>0.25</v>
      </c>
      <c r="K71" s="357">
        <v>0</v>
      </c>
      <c r="L71" s="362">
        <v>0</v>
      </c>
      <c r="M71" s="362">
        <v>0</v>
      </c>
      <c r="N71" s="322" t="s">
        <v>192</v>
      </c>
      <c r="O71" s="341" t="str">
        <f>IFERROR(GETPIVOTDATA("ASSET GROUP",'TABLE OF CONTENTS'!$P$20,"ASSET COMPONENT",WO_Data_Masterlist[[#This Row],[ASSET COMPONENT]]), "N/A")</f>
        <v>N/A</v>
      </c>
      <c r="P71" s="363">
        <v>0</v>
      </c>
      <c r="Q71" s="364">
        <f>IFERROR(WO_Data_Masterlist[[#This Row],[ANNUAL ENERGY PER UNIT]]*WO_Data_Masterlist[[#This Row],[QUANTITY NON-LINEAR INFRASTRUCTURE]], 0)</f>
        <v>0</v>
      </c>
      <c r="R71" s="374" t="str">
        <f>IF(SUM(WO_Data_Masterlist[[#This Row],[QUANTITY LINEAR INFRASTRUCTURE]:[QUANTITY NON-LINEAR INFRASTRUCTURE]])&gt;0, "YES", "NO")</f>
        <v>NO</v>
      </c>
      <c r="S7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4331.3291379310349</v>
      </c>
    </row>
    <row r="72" spans="1:19" x14ac:dyDescent="0.25">
      <c r="A72" s="371" t="s">
        <v>303</v>
      </c>
      <c r="B72" s="370" t="s">
        <v>26</v>
      </c>
      <c r="C72" s="370" t="s">
        <v>107</v>
      </c>
      <c r="D72" s="370" t="s">
        <v>297</v>
      </c>
      <c r="E72" s="370" t="s">
        <v>299</v>
      </c>
      <c r="F72" s="320" t="s">
        <v>181</v>
      </c>
      <c r="G72" s="355">
        <v>52</v>
      </c>
      <c r="H72" s="361" t="s">
        <v>192</v>
      </c>
      <c r="I72" s="349">
        <v>0.5</v>
      </c>
      <c r="J72" s="354">
        <v>0.25</v>
      </c>
      <c r="K72" s="357">
        <v>0</v>
      </c>
      <c r="L72" s="362">
        <v>0</v>
      </c>
      <c r="M72" s="362">
        <v>0</v>
      </c>
      <c r="N72" s="322" t="s">
        <v>192</v>
      </c>
      <c r="O72" s="341" t="str">
        <f>IFERROR(GETPIVOTDATA("ASSET GROUP",'TABLE OF CONTENTS'!$P$20,"ASSET COMPONENT",WO_Data_Masterlist[[#This Row],[ASSET COMPONENT]]), "N/A")</f>
        <v>N/A</v>
      </c>
      <c r="P72" s="363">
        <v>0</v>
      </c>
      <c r="Q72" s="364">
        <f>IFERROR(WO_Data_Masterlist[[#This Row],[ANNUAL ENERGY PER UNIT]]*WO_Data_Masterlist[[#This Row],[QUANTITY NON-LINEAR INFRASTRUCTURE]], 0)</f>
        <v>0</v>
      </c>
      <c r="R72" s="374" t="str">
        <f>IF(SUM(WO_Data_Masterlist[[#This Row],[QUANTITY LINEAR INFRASTRUCTURE]:[QUANTITY NON-LINEAR INFRASTRUCTURE]])&gt;0, "YES", "NO")</f>
        <v>NO</v>
      </c>
      <c r="S7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1020.0660689655173</v>
      </c>
    </row>
    <row r="73" spans="1:19" x14ac:dyDescent="0.25">
      <c r="A73" s="371" t="s">
        <v>304</v>
      </c>
      <c r="B73" s="370" t="s">
        <v>26</v>
      </c>
      <c r="C73" s="370" t="s">
        <v>107</v>
      </c>
      <c r="D73" s="370" t="s">
        <v>297</v>
      </c>
      <c r="E73" s="370" t="s">
        <v>300</v>
      </c>
      <c r="F73" s="320" t="s">
        <v>180</v>
      </c>
      <c r="G73" s="355">
        <v>1</v>
      </c>
      <c r="H73" s="361" t="s">
        <v>192</v>
      </c>
      <c r="I73" s="349">
        <v>1</v>
      </c>
      <c r="J73" s="354">
        <v>0.25</v>
      </c>
      <c r="K73" s="357">
        <v>0</v>
      </c>
      <c r="L73" s="362">
        <v>0</v>
      </c>
      <c r="M73" s="362">
        <v>0</v>
      </c>
      <c r="N73" s="322" t="s">
        <v>192</v>
      </c>
      <c r="O73" s="341" t="str">
        <f>IFERROR(GETPIVOTDATA("ASSET GROUP",'TABLE OF CONTENTS'!$P$20,"ASSET COMPONENT",WO_Data_Masterlist[[#This Row],[ASSET COMPONENT]]), "N/A")</f>
        <v>N/A</v>
      </c>
      <c r="P73" s="363">
        <v>2300</v>
      </c>
      <c r="Q73" s="364">
        <f>IFERROR(WO_Data_Masterlist[[#This Row],[ANNUAL ENERGY PER UNIT]]*WO_Data_Masterlist[[#This Row],[QUANTITY NON-LINEAR INFRASTRUCTURE]], 0)</f>
        <v>0</v>
      </c>
      <c r="R73" s="374" t="str">
        <f>IF(SUM(WO_Data_Masterlist[[#This Row],[QUANTITY LINEAR INFRASTRUCTURE]:[QUANTITY NON-LINEAR INFRASTRUCTURE]])&gt;0, "YES", "NO")</f>
        <v>NO</v>
      </c>
      <c r="S7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2335.1166551724136</v>
      </c>
    </row>
    <row r="74" spans="1:19" x14ac:dyDescent="0.25">
      <c r="A74" s="371" t="s">
        <v>305</v>
      </c>
      <c r="B74" s="370" t="s">
        <v>26</v>
      </c>
      <c r="C74" s="370" t="s">
        <v>107</v>
      </c>
      <c r="D74" s="370" t="s">
        <v>297</v>
      </c>
      <c r="E74" s="370" t="s">
        <v>301</v>
      </c>
      <c r="F74" s="320" t="s">
        <v>182</v>
      </c>
      <c r="G74" s="355">
        <v>12</v>
      </c>
      <c r="H74" s="361" t="s">
        <v>192</v>
      </c>
      <c r="I74" s="349">
        <v>1</v>
      </c>
      <c r="J74" s="354">
        <v>0.25</v>
      </c>
      <c r="K74" s="357">
        <v>0</v>
      </c>
      <c r="L74" s="362">
        <v>0</v>
      </c>
      <c r="M74" s="362">
        <v>10</v>
      </c>
      <c r="N74" s="322" t="s">
        <v>192</v>
      </c>
      <c r="O74" s="341" t="str">
        <f>IFERROR(GETPIVOTDATA("ASSET GROUP",'TABLE OF CONTENTS'!$P$20,"ASSET COMPONENT",WO_Data_Masterlist[[#This Row],[ASSET COMPONENT]]), "N/A")</f>
        <v>N/A</v>
      </c>
      <c r="P74" s="363">
        <v>0</v>
      </c>
      <c r="Q74" s="364">
        <f>IFERROR(WO_Data_Masterlist[[#This Row],[ANNUAL ENERGY PER UNIT]]*WO_Data_Masterlist[[#This Row],[QUANTITY NON-LINEAR INFRASTRUCTURE]], 0)</f>
        <v>0</v>
      </c>
      <c r="R74" s="374" t="str">
        <f>IF(SUM(WO_Data_Masterlist[[#This Row],[QUANTITY LINEAR INFRASTRUCTURE]:[QUANTITY NON-LINEAR INFRASTRUCTURE]])&gt;0, "YES", "NO")</f>
        <v>NO</v>
      </c>
      <c r="S7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541.39986206896549</v>
      </c>
    </row>
    <row r="75" spans="1:19" x14ac:dyDescent="0.25">
      <c r="A75" s="371" t="s">
        <v>306</v>
      </c>
      <c r="B75" s="370" t="s">
        <v>26</v>
      </c>
      <c r="C75" s="370" t="s">
        <v>107</v>
      </c>
      <c r="D75" s="370" t="s">
        <v>297</v>
      </c>
      <c r="E75" s="370" t="s">
        <v>302</v>
      </c>
      <c r="F75" s="320" t="s">
        <v>184</v>
      </c>
      <c r="G75" s="355">
        <v>365</v>
      </c>
      <c r="H75" s="361" t="s">
        <v>192</v>
      </c>
      <c r="I75" s="349">
        <v>0.5</v>
      </c>
      <c r="J75" s="354">
        <v>0.25</v>
      </c>
      <c r="K75" s="357">
        <v>0</v>
      </c>
      <c r="L75" s="362">
        <v>0</v>
      </c>
      <c r="M75" s="362">
        <v>0</v>
      </c>
      <c r="N75" s="322" t="s">
        <v>192</v>
      </c>
      <c r="O75" s="341" t="str">
        <f>IFERROR(GETPIVOTDATA("ASSET GROUP",'TABLE OF CONTENTS'!$P$20,"ASSET COMPONENT",WO_Data_Masterlist[[#This Row],[ASSET COMPONENT]]), "N/A")</f>
        <v>N/A</v>
      </c>
      <c r="P75" s="363">
        <v>0</v>
      </c>
      <c r="Q75" s="364">
        <f>IFERROR(WO_Data_Masterlist[[#This Row],[ANNUAL ENERGY PER UNIT]]*WO_Data_Masterlist[[#This Row],[QUANTITY NON-LINEAR INFRASTRUCTURE]], 0)</f>
        <v>0</v>
      </c>
      <c r="R75" s="374" t="str">
        <f>IF(SUM(WO_Data_Masterlist[[#This Row],[QUANTITY LINEAR INFRASTRUCTURE]:[QUANTITY NON-LINEAR INFRASTRUCTURE]])&gt;0, "YES", "NO")</f>
        <v>NO</v>
      </c>
      <c r="S7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7160.0791379310349</v>
      </c>
    </row>
    <row r="76" spans="1:19" x14ac:dyDescent="0.25">
      <c r="A76" s="371" t="s">
        <v>307</v>
      </c>
      <c r="B76" s="370" t="s">
        <v>26</v>
      </c>
      <c r="C76" s="370" t="s">
        <v>107</v>
      </c>
      <c r="D76" s="370" t="s">
        <v>297</v>
      </c>
      <c r="E76" s="370" t="s">
        <v>311</v>
      </c>
      <c r="F76" s="320" t="s">
        <v>181</v>
      </c>
      <c r="G76" s="355">
        <v>52</v>
      </c>
      <c r="H76" s="361" t="s">
        <v>192</v>
      </c>
      <c r="I76" s="349">
        <v>0.25</v>
      </c>
      <c r="J76" s="354">
        <v>0.25</v>
      </c>
      <c r="K76" s="357">
        <v>0</v>
      </c>
      <c r="L76" s="362">
        <v>0</v>
      </c>
      <c r="M76" s="362">
        <v>10</v>
      </c>
      <c r="N76" s="322" t="s">
        <v>192</v>
      </c>
      <c r="O76" s="341" t="str">
        <f>IFERROR(GETPIVOTDATA("ASSET GROUP",'TABLE OF CONTENTS'!$P$20,"ASSET COMPONENT",WO_Data_Masterlist[[#This Row],[ASSET COMPONENT]]), "N/A")</f>
        <v>N/A</v>
      </c>
      <c r="P76" s="363">
        <v>0</v>
      </c>
      <c r="Q76" s="364">
        <f>IFERROR(WO_Data_Masterlist[[#This Row],[ANNUAL ENERGY PER UNIT]]*WO_Data_Masterlist[[#This Row],[QUANTITY NON-LINEAR INFRASTRUCTURE]], 0)</f>
        <v>0</v>
      </c>
      <c r="R76" s="374" t="str">
        <f>IF(SUM(WO_Data_Masterlist[[#This Row],[QUANTITY LINEAR INFRASTRUCTURE]:[QUANTITY NON-LINEAR INFRASTRUCTURE]])&gt;0, "YES", "NO")</f>
        <v>NO</v>
      </c>
      <c r="S7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1137.0660689655172</v>
      </c>
    </row>
    <row r="77" spans="1:19" x14ac:dyDescent="0.25">
      <c r="A77" s="371" t="s">
        <v>308</v>
      </c>
      <c r="B77" s="370" t="s">
        <v>26</v>
      </c>
      <c r="C77" s="370" t="s">
        <v>107</v>
      </c>
      <c r="D77" s="370" t="s">
        <v>297</v>
      </c>
      <c r="E77" s="370" t="s">
        <v>312</v>
      </c>
      <c r="F77" s="320" t="s">
        <v>180</v>
      </c>
      <c r="G77" s="355">
        <v>1</v>
      </c>
      <c r="H77" s="361" t="s">
        <v>192</v>
      </c>
      <c r="I77" s="349">
        <v>2</v>
      </c>
      <c r="J77" s="354">
        <v>0.25</v>
      </c>
      <c r="K77" s="357">
        <v>0</v>
      </c>
      <c r="L77" s="362">
        <v>0</v>
      </c>
      <c r="M77" s="362">
        <v>50</v>
      </c>
      <c r="N77" s="322" t="s">
        <v>192</v>
      </c>
      <c r="O77" s="341" t="str">
        <f>IFERROR(GETPIVOTDATA("ASSET GROUP",'TABLE OF CONTENTS'!$P$20,"ASSET COMPONENT",WO_Data_Masterlist[[#This Row],[ASSET COMPONENT]]), "N/A")</f>
        <v>N/A</v>
      </c>
      <c r="P77" s="363">
        <v>1800</v>
      </c>
      <c r="Q77" s="364">
        <f>IFERROR(WO_Data_Masterlist[[#This Row],[ANNUAL ENERGY PER UNIT]]*WO_Data_Masterlist[[#This Row],[QUANTITY NON-LINEAR INFRASTRUCTURE]], 0)</f>
        <v>0</v>
      </c>
      <c r="R77" s="374" t="str">
        <f>IF(SUM(WO_Data_Masterlist[[#This Row],[QUANTITY LINEAR INFRASTRUCTURE]:[QUANTITY NON-LINEAR INFRASTRUCTURE]])&gt;0, "YES", "NO")</f>
        <v>NO</v>
      </c>
      <c r="S7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1916.1166551724139</v>
      </c>
    </row>
    <row r="78" spans="1:19" x14ac:dyDescent="0.25">
      <c r="A78" s="371" t="s">
        <v>309</v>
      </c>
      <c r="B78" s="370" t="s">
        <v>26</v>
      </c>
      <c r="C78" s="370" t="s">
        <v>107</v>
      </c>
      <c r="D78" s="370" t="s">
        <v>297</v>
      </c>
      <c r="E78" s="370" t="s">
        <v>313</v>
      </c>
      <c r="F78" s="320" t="s">
        <v>181</v>
      </c>
      <c r="G78" s="355">
        <v>52</v>
      </c>
      <c r="H78" s="361" t="s">
        <v>192</v>
      </c>
      <c r="I78" s="349">
        <v>0.25</v>
      </c>
      <c r="J78" s="354">
        <v>0.25</v>
      </c>
      <c r="K78" s="357">
        <v>0</v>
      </c>
      <c r="L78" s="362">
        <v>0</v>
      </c>
      <c r="M78" s="362">
        <v>20</v>
      </c>
      <c r="N78" s="322" t="s">
        <v>192</v>
      </c>
      <c r="O78" s="341" t="str">
        <f>IFERROR(GETPIVOTDATA("ASSET GROUP",'TABLE OF CONTENTS'!$P$20,"ASSET COMPONENT",WO_Data_Masterlist[[#This Row],[ASSET COMPONENT]]), "N/A")</f>
        <v>N/A</v>
      </c>
      <c r="P78" s="363">
        <v>0</v>
      </c>
      <c r="Q78" s="364">
        <f>IFERROR(WO_Data_Masterlist[[#This Row],[ANNUAL ENERGY PER UNIT]]*WO_Data_Masterlist[[#This Row],[QUANTITY NON-LINEAR INFRASTRUCTURE]], 0)</f>
        <v>0</v>
      </c>
      <c r="R78" s="374" t="str">
        <f>IF(SUM(WO_Data_Masterlist[[#This Row],[QUANTITY LINEAR INFRASTRUCTURE]:[QUANTITY NON-LINEAR INFRASTRUCTURE]])&gt;0, "YES", "NO")</f>
        <v>NO</v>
      </c>
      <c r="S78"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1657.0660689655172</v>
      </c>
    </row>
    <row r="79" spans="1:19" x14ac:dyDescent="0.25">
      <c r="A79" s="371" t="s">
        <v>310</v>
      </c>
      <c r="B79" s="370" t="s">
        <v>26</v>
      </c>
      <c r="C79" s="370" t="s">
        <v>107</v>
      </c>
      <c r="D79" s="370" t="s">
        <v>297</v>
      </c>
      <c r="E79" s="370" t="s">
        <v>314</v>
      </c>
      <c r="F79" s="320" t="s">
        <v>184</v>
      </c>
      <c r="G79" s="355">
        <v>365</v>
      </c>
      <c r="H79" s="361" t="s">
        <v>192</v>
      </c>
      <c r="I79" s="349">
        <v>0.25</v>
      </c>
      <c r="J79" s="354">
        <v>0.25</v>
      </c>
      <c r="K79" s="357">
        <v>0</v>
      </c>
      <c r="L79" s="362">
        <v>0</v>
      </c>
      <c r="M79" s="362">
        <v>5</v>
      </c>
      <c r="N79" s="322" t="s">
        <v>192</v>
      </c>
      <c r="O79" s="341" t="str">
        <f>IFERROR(GETPIVOTDATA("ASSET GROUP",'TABLE OF CONTENTS'!$P$20,"ASSET COMPONENT",WO_Data_Masterlist[[#This Row],[ASSET COMPONENT]]), "N/A")</f>
        <v>N/A</v>
      </c>
      <c r="P79" s="363">
        <v>0</v>
      </c>
      <c r="Q79" s="364">
        <f>IFERROR(WO_Data_Masterlist[[#This Row],[ANNUAL ENERGY PER UNIT]]*WO_Data_Masterlist[[#This Row],[QUANTITY NON-LINEAR INFRASTRUCTURE]], 0)</f>
        <v>0</v>
      </c>
      <c r="R79" s="374" t="str">
        <f>IF(SUM(WO_Data_Masterlist[[#This Row],[QUANTITY LINEAR INFRASTRUCTURE]:[QUANTITY NON-LINEAR INFRASTRUCTURE]])&gt;0, "YES", "NO")</f>
        <v>NO</v>
      </c>
      <c r="S7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6156.3291379310349</v>
      </c>
    </row>
    <row r="80" spans="1:19" x14ac:dyDescent="0.25">
      <c r="A80" s="371" t="s">
        <v>316</v>
      </c>
      <c r="B80" s="370" t="s">
        <v>26</v>
      </c>
      <c r="C80" s="370" t="s">
        <v>107</v>
      </c>
      <c r="D80" s="370" t="s">
        <v>297</v>
      </c>
      <c r="E80" s="370" t="s">
        <v>315</v>
      </c>
      <c r="F80" s="320" t="s">
        <v>183</v>
      </c>
      <c r="G80" s="355">
        <v>4</v>
      </c>
      <c r="H80" s="361" t="s">
        <v>192</v>
      </c>
      <c r="I80" s="349">
        <v>0.5</v>
      </c>
      <c r="J80" s="354">
        <v>0.25</v>
      </c>
      <c r="K80" s="357">
        <v>0</v>
      </c>
      <c r="L80" s="362">
        <v>0</v>
      </c>
      <c r="M80" s="362">
        <v>0</v>
      </c>
      <c r="N80" s="322" t="s">
        <v>192</v>
      </c>
      <c r="O80" s="341" t="str">
        <f>IFERROR(GETPIVOTDATA("ASSET GROUP",'TABLE OF CONTENTS'!$P$20,"ASSET COMPONENT",WO_Data_Masterlist[[#This Row],[ASSET COMPONENT]]), "N/A")</f>
        <v>N/A</v>
      </c>
      <c r="P80" s="363">
        <v>0</v>
      </c>
      <c r="Q80" s="364">
        <f>IFERROR(WO_Data_Masterlist[[#This Row],[ANNUAL ENERGY PER UNIT]]*WO_Data_Masterlist[[#This Row],[QUANTITY NON-LINEAR INFRASTRUCTURE]], 0)</f>
        <v>0</v>
      </c>
      <c r="R80" s="374" t="str">
        <f>IF(SUM(WO_Data_Masterlist[[#This Row],[QUANTITY LINEAR INFRASTRUCTURE]:[QUANTITY NON-LINEAR INFRASTRUCTURE]])&gt;0, "YES", "NO")</f>
        <v>NO</v>
      </c>
      <c r="S8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78.466620689655173</v>
      </c>
    </row>
    <row r="81" spans="1:19" x14ac:dyDescent="0.25">
      <c r="A81" s="372" t="s">
        <v>484</v>
      </c>
      <c r="B81" s="370" t="s">
        <v>26</v>
      </c>
      <c r="C81" s="370" t="s">
        <v>107</v>
      </c>
      <c r="D81" s="370" t="s">
        <v>518</v>
      </c>
      <c r="E81" s="370" t="s">
        <v>485</v>
      </c>
      <c r="F81" s="320" t="s">
        <v>486</v>
      </c>
      <c r="G81" s="320">
        <v>26</v>
      </c>
      <c r="H81" s="348" t="s">
        <v>192</v>
      </c>
      <c r="I81" s="365">
        <v>0.25</v>
      </c>
      <c r="J81" s="350">
        <v>0.25</v>
      </c>
      <c r="K81" s="357">
        <v>0</v>
      </c>
      <c r="L81" s="362">
        <v>0</v>
      </c>
      <c r="M81" s="362">
        <v>0</v>
      </c>
      <c r="N81" s="322" t="s">
        <v>192</v>
      </c>
      <c r="O81" s="341" t="str">
        <f>IFERROR(GETPIVOTDATA("ASSET GROUP",'TABLE OF CONTENTS'!$P$20,"ASSET COMPONENT",WO_Data_Masterlist[[#This Row],[ASSET COMPONENT]]), "N/A")</f>
        <v>N/A</v>
      </c>
      <c r="P81" s="363">
        <v>0</v>
      </c>
      <c r="Q81" s="364">
        <f>IFERROR(WO_Data_Masterlist[[#This Row],[ANNUAL ENERGY PER UNIT]]*WO_Data_Masterlist[[#This Row],[QUANTITY NON-LINEAR INFRASTRUCTURE]], 0)</f>
        <v>0</v>
      </c>
      <c r="R81" s="374" t="str">
        <f>IF(SUM(WO_Data_Masterlist[[#This Row],[QUANTITY LINEAR INFRASTRUCTURE]:[QUANTITY NON-LINEAR INFRASTRUCTURE]])&gt;0, "YES", "NO")</f>
        <v>NO</v>
      </c>
      <c r="S8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308.53303448275864</v>
      </c>
    </row>
    <row r="82" spans="1:19" x14ac:dyDescent="0.25">
      <c r="A82" s="372" t="s">
        <v>487</v>
      </c>
      <c r="B82" s="370" t="s">
        <v>26</v>
      </c>
      <c r="C82" s="370" t="s">
        <v>113</v>
      </c>
      <c r="D82" s="370" t="s">
        <v>519</v>
      </c>
      <c r="E82" s="370" t="s">
        <v>488</v>
      </c>
      <c r="F82" s="320" t="s">
        <v>182</v>
      </c>
      <c r="G82" s="320">
        <v>12</v>
      </c>
      <c r="H82" s="348" t="s">
        <v>192</v>
      </c>
      <c r="I82" s="365">
        <v>0.25</v>
      </c>
      <c r="J82" s="350">
        <v>0</v>
      </c>
      <c r="K82" s="352">
        <v>0</v>
      </c>
      <c r="L82" s="352">
        <v>0</v>
      </c>
      <c r="M82" s="352">
        <v>0</v>
      </c>
      <c r="N82" s="322" t="s">
        <v>192</v>
      </c>
      <c r="O82" s="341" t="str">
        <f>IFERROR(GETPIVOTDATA("ASSET GROUP",'TABLE OF CONTENTS'!$P$20,"ASSET COMPONENT",WO_Data_Masterlist[[#This Row],[ASSET COMPONENT]]), "N/A")</f>
        <v>N/A</v>
      </c>
      <c r="P82" s="322">
        <v>0</v>
      </c>
      <c r="Q82" s="364">
        <f>IFERROR(WO_Data_Masterlist[[#This Row],[ANNUAL ENERGY PER UNIT]]*WO_Data_Masterlist[[#This Row],[QUANTITY NON-LINEAR INFRASTRUCTURE]], 0)</f>
        <v>0</v>
      </c>
      <c r="R82" s="374" t="str">
        <f>IF(SUM(WO_Data_Masterlist[[#This Row],[QUANTITY LINEAR INFRASTRUCTURE]:[QUANTITY NON-LINEAR INFRASTRUCTURE]])&gt;0, "YES", "NO")</f>
        <v>NO</v>
      </c>
      <c r="S8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93</v>
      </c>
    </row>
    <row r="83" spans="1:19" x14ac:dyDescent="0.25">
      <c r="A83" s="372" t="s">
        <v>489</v>
      </c>
      <c r="B83" s="370" t="s">
        <v>26</v>
      </c>
      <c r="C83" s="370" t="s">
        <v>113</v>
      </c>
      <c r="D83" s="370" t="s">
        <v>519</v>
      </c>
      <c r="E83" s="370" t="s">
        <v>490</v>
      </c>
      <c r="F83" s="320" t="s">
        <v>182</v>
      </c>
      <c r="G83" s="320">
        <v>12</v>
      </c>
      <c r="H83" s="348" t="s">
        <v>192</v>
      </c>
      <c r="I83" s="365">
        <v>0.25</v>
      </c>
      <c r="J83" s="350">
        <v>0</v>
      </c>
      <c r="K83" s="352">
        <v>0</v>
      </c>
      <c r="L83" s="352">
        <v>0</v>
      </c>
      <c r="M83" s="352">
        <v>0</v>
      </c>
      <c r="N83" s="322" t="s">
        <v>192</v>
      </c>
      <c r="O83" s="341" t="str">
        <f>IFERROR(GETPIVOTDATA("ASSET GROUP",'TABLE OF CONTENTS'!$P$20,"ASSET COMPONENT",WO_Data_Masterlist[[#This Row],[ASSET COMPONENT]]), "N/A")</f>
        <v>N/A</v>
      </c>
      <c r="P83" s="322">
        <v>0</v>
      </c>
      <c r="Q83" s="364">
        <f>IFERROR(WO_Data_Masterlist[[#This Row],[ANNUAL ENERGY PER UNIT]]*WO_Data_Masterlist[[#This Row],[QUANTITY NON-LINEAR INFRASTRUCTURE]], 0)</f>
        <v>0</v>
      </c>
      <c r="R83" s="374" t="str">
        <f>IF(SUM(WO_Data_Masterlist[[#This Row],[QUANTITY LINEAR INFRASTRUCTURE]:[QUANTITY NON-LINEAR INFRASTRUCTURE]])&gt;0, "YES", "NO")</f>
        <v>NO</v>
      </c>
      <c r="S8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93</v>
      </c>
    </row>
    <row r="84" spans="1:19" x14ac:dyDescent="0.25">
      <c r="A84" s="372" t="s">
        <v>491</v>
      </c>
      <c r="B84" s="370" t="s">
        <v>26</v>
      </c>
      <c r="C84" s="370" t="s">
        <v>113</v>
      </c>
      <c r="D84" s="370" t="s">
        <v>518</v>
      </c>
      <c r="E84" s="370" t="s">
        <v>492</v>
      </c>
      <c r="F84" s="320" t="s">
        <v>183</v>
      </c>
      <c r="G84" s="320">
        <v>4</v>
      </c>
      <c r="H84" s="348" t="s">
        <v>192</v>
      </c>
      <c r="I84" s="365">
        <v>2</v>
      </c>
      <c r="J84" s="350">
        <v>0</v>
      </c>
      <c r="K84" s="351">
        <v>0</v>
      </c>
      <c r="L84" s="352">
        <v>0</v>
      </c>
      <c r="M84" s="352">
        <v>0</v>
      </c>
      <c r="N84" s="322" t="s">
        <v>192</v>
      </c>
      <c r="O84" s="341" t="str">
        <f>IFERROR(GETPIVOTDATA("ASSET GROUP",'TABLE OF CONTENTS'!$P$20,"ASSET COMPONENT",WO_Data_Masterlist[[#This Row],[ASSET COMPONENT]]), "N/A")</f>
        <v>N/A</v>
      </c>
      <c r="P84" s="322">
        <v>0</v>
      </c>
      <c r="Q84" s="364">
        <f>IFERROR(WO_Data_Masterlist[[#This Row],[ANNUAL ENERGY PER UNIT]]*WO_Data_Masterlist[[#This Row],[QUANTITY NON-LINEAR INFRASTRUCTURE]], 0)</f>
        <v>0</v>
      </c>
      <c r="R84" s="374" t="str">
        <f>IF(SUM(WO_Data_Masterlist[[#This Row],[QUANTITY LINEAR INFRASTRUCTURE]:[QUANTITY NON-LINEAR INFRASTRUCTURE]])&gt;0, "YES", "NO")</f>
        <v>NO</v>
      </c>
      <c r="S8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248</v>
      </c>
    </row>
    <row r="85" spans="1:19" x14ac:dyDescent="0.25">
      <c r="A85" s="372" t="s">
        <v>493</v>
      </c>
      <c r="B85" s="370" t="s">
        <v>26</v>
      </c>
      <c r="C85" s="370" t="s">
        <v>113</v>
      </c>
      <c r="D85" s="370" t="s">
        <v>518</v>
      </c>
      <c r="E85" s="370" t="s">
        <v>494</v>
      </c>
      <c r="F85" s="320" t="s">
        <v>186</v>
      </c>
      <c r="G85" s="320">
        <v>2</v>
      </c>
      <c r="H85" s="348" t="s">
        <v>192</v>
      </c>
      <c r="I85" s="365">
        <v>2</v>
      </c>
      <c r="J85" s="350">
        <v>0</v>
      </c>
      <c r="K85" s="351">
        <v>0</v>
      </c>
      <c r="L85" s="352">
        <v>0</v>
      </c>
      <c r="M85" s="352">
        <v>50</v>
      </c>
      <c r="N85" s="322" t="s">
        <v>192</v>
      </c>
      <c r="O85" s="341" t="str">
        <f>IFERROR(GETPIVOTDATA("ASSET GROUP",'TABLE OF CONTENTS'!$P$20,"ASSET COMPONENT",WO_Data_Masterlist[[#This Row],[ASSET COMPONENT]]), "N/A")</f>
        <v>N/A</v>
      </c>
      <c r="P85" s="322">
        <v>0</v>
      </c>
      <c r="Q85" s="364">
        <f>IFERROR(WO_Data_Masterlist[[#This Row],[ANNUAL ENERGY PER UNIT]]*WO_Data_Masterlist[[#This Row],[QUANTITY NON-LINEAR INFRASTRUCTURE]], 0)</f>
        <v>0</v>
      </c>
      <c r="R85" s="374" t="str">
        <f>IF(SUM(WO_Data_Masterlist[[#This Row],[QUANTITY LINEAR INFRASTRUCTURE]:[QUANTITY NON-LINEAR INFRASTRUCTURE]])&gt;0, "YES", "NO")</f>
        <v>NO</v>
      </c>
      <c r="S8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224</v>
      </c>
    </row>
    <row r="86" spans="1:19" x14ac:dyDescent="0.25">
      <c r="A86" s="372" t="s">
        <v>495</v>
      </c>
      <c r="B86" s="370" t="s">
        <v>26</v>
      </c>
      <c r="C86" s="370" t="s">
        <v>113</v>
      </c>
      <c r="D86" s="370" t="s">
        <v>518</v>
      </c>
      <c r="E86" s="370" t="s">
        <v>496</v>
      </c>
      <c r="F86" s="320" t="s">
        <v>186</v>
      </c>
      <c r="G86" s="320">
        <v>2</v>
      </c>
      <c r="H86" s="348" t="s">
        <v>192</v>
      </c>
      <c r="I86" s="365">
        <v>1.5</v>
      </c>
      <c r="J86" s="350">
        <v>0</v>
      </c>
      <c r="K86" s="351">
        <v>0</v>
      </c>
      <c r="L86" s="352">
        <v>0</v>
      </c>
      <c r="M86" s="352">
        <v>50</v>
      </c>
      <c r="N86" s="322" t="s">
        <v>192</v>
      </c>
      <c r="O86" s="341" t="str">
        <f>IFERROR(GETPIVOTDATA("ASSET GROUP",'TABLE OF CONTENTS'!$P$20,"ASSET COMPONENT",WO_Data_Masterlist[[#This Row],[ASSET COMPONENT]]), "N/A")</f>
        <v>N/A</v>
      </c>
      <c r="P86" s="322">
        <v>0</v>
      </c>
      <c r="Q86" s="364">
        <f>IFERROR(WO_Data_Masterlist[[#This Row],[ANNUAL ENERGY PER UNIT]]*WO_Data_Masterlist[[#This Row],[QUANTITY NON-LINEAR INFRASTRUCTURE]], 0)</f>
        <v>0</v>
      </c>
      <c r="R86" s="374" t="str">
        <f>IF(SUM(WO_Data_Masterlist[[#This Row],[QUANTITY LINEAR INFRASTRUCTURE]:[QUANTITY NON-LINEAR INFRASTRUCTURE]])&gt;0, "YES", "NO")</f>
        <v>NO</v>
      </c>
      <c r="S86"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193</v>
      </c>
    </row>
    <row r="87" spans="1:19" x14ac:dyDescent="0.25">
      <c r="A87" s="372" t="s">
        <v>497</v>
      </c>
      <c r="B87" s="370" t="s">
        <v>26</v>
      </c>
      <c r="C87" s="370" t="s">
        <v>113</v>
      </c>
      <c r="D87" s="370" t="s">
        <v>518</v>
      </c>
      <c r="E87" s="370" t="s">
        <v>498</v>
      </c>
      <c r="F87" s="320" t="s">
        <v>186</v>
      </c>
      <c r="G87" s="320">
        <v>2</v>
      </c>
      <c r="H87" s="348" t="s">
        <v>192</v>
      </c>
      <c r="I87" s="365">
        <v>2</v>
      </c>
      <c r="J87" s="350">
        <v>0</v>
      </c>
      <c r="K87" s="351">
        <v>0</v>
      </c>
      <c r="L87" s="352">
        <v>0</v>
      </c>
      <c r="M87" s="352">
        <v>0</v>
      </c>
      <c r="N87" s="322" t="s">
        <v>192</v>
      </c>
      <c r="O87" s="341" t="str">
        <f>IFERROR(GETPIVOTDATA("ASSET GROUP",'TABLE OF CONTENTS'!$P$20,"ASSET COMPONENT",WO_Data_Masterlist[[#This Row],[ASSET COMPONENT]]), "N/A")</f>
        <v>N/A</v>
      </c>
      <c r="P87" s="322">
        <v>0</v>
      </c>
      <c r="Q87" s="364">
        <f>IFERROR(WO_Data_Masterlist[[#This Row],[ANNUAL ENERGY PER UNIT]]*WO_Data_Masterlist[[#This Row],[QUANTITY NON-LINEAR INFRASTRUCTURE]], 0)</f>
        <v>0</v>
      </c>
      <c r="R87" s="374" t="str">
        <f>IF(SUM(WO_Data_Masterlist[[#This Row],[QUANTITY LINEAR INFRASTRUCTURE]:[QUANTITY NON-LINEAR INFRASTRUCTURE]])&gt;0, "YES", "NO")</f>
        <v>NO</v>
      </c>
      <c r="S87"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124</v>
      </c>
    </row>
    <row r="88" spans="1:19" x14ac:dyDescent="0.25">
      <c r="A88" s="370" t="s">
        <v>446</v>
      </c>
      <c r="B88" s="370" t="s">
        <v>26</v>
      </c>
      <c r="C88" s="370" t="s">
        <v>107</v>
      </c>
      <c r="D88" s="370" t="s">
        <v>106</v>
      </c>
      <c r="E88" s="370" t="s">
        <v>447</v>
      </c>
      <c r="F88" s="320" t="s">
        <v>180</v>
      </c>
      <c r="G88" s="320">
        <v>1</v>
      </c>
      <c r="H88" s="348" t="s">
        <v>192</v>
      </c>
      <c r="I88" s="349">
        <v>8</v>
      </c>
      <c r="J88" s="350">
        <v>1</v>
      </c>
      <c r="K88" s="351">
        <v>0</v>
      </c>
      <c r="L88" s="352">
        <v>0</v>
      </c>
      <c r="M88" s="352">
        <v>0</v>
      </c>
      <c r="N88" s="322" t="s">
        <v>192</v>
      </c>
      <c r="O88" s="358" t="str">
        <f>IFERROR(GETPIVOTDATA("ASSET GROUP",'TABLE OF CONTENTS'!$P$20,"ASSET COMPONENT",WO_Data_Masterlist[[#This Row],[ASSET COMPONENT]]), "N/A")</f>
        <v>N/A</v>
      </c>
      <c r="P88" s="322">
        <v>0</v>
      </c>
      <c r="Q88" s="364">
        <f>IFERROR(WO_Data_Masterlist[[#This Row],[ANNUAL ENERGY PER UNIT]]*WO_Data_Masterlist[[#This Row],[QUANTITY NON-LINEAR INFRASTRUCTURE]], 0)</f>
        <v>0</v>
      </c>
      <c r="R88" s="374" t="str">
        <f>IF(SUM(WO_Data_Masterlist[[#This Row],[QUANTITY LINEAR INFRASTRUCTURE]:[QUANTITY NON-LINEAR INFRASTRUCTURE]])&gt;0, "YES", "NO")</f>
        <v>NO</v>
      </c>
      <c r="S88"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264.4666206896552</v>
      </c>
    </row>
    <row r="89" spans="1:19" x14ac:dyDescent="0.25">
      <c r="A89" s="370" t="s">
        <v>448</v>
      </c>
      <c r="B89" s="370" t="s">
        <v>26</v>
      </c>
      <c r="C89" s="370" t="s">
        <v>107</v>
      </c>
      <c r="D89" s="370" t="s">
        <v>106</v>
      </c>
      <c r="E89" s="370" t="s">
        <v>449</v>
      </c>
      <c r="F89" s="320" t="s">
        <v>450</v>
      </c>
      <c r="G89" s="356">
        <v>256</v>
      </c>
      <c r="H89" s="348" t="s">
        <v>192</v>
      </c>
      <c r="I89" s="349">
        <v>0.25</v>
      </c>
      <c r="J89" s="350">
        <v>0.25</v>
      </c>
      <c r="K89" s="351">
        <v>0</v>
      </c>
      <c r="L89" s="352">
        <v>0</v>
      </c>
      <c r="M89" s="352">
        <v>0</v>
      </c>
      <c r="N89" s="322" t="s">
        <v>192</v>
      </c>
      <c r="O89" s="358" t="str">
        <f>IFERROR(GETPIVOTDATA("ASSET GROUP",'TABLE OF CONTENTS'!$P$20,"ASSET COMPONENT",WO_Data_Masterlist[[#This Row],[ASSET COMPONENT]]), "N/A")</f>
        <v>N/A</v>
      </c>
      <c r="P89" s="322">
        <v>0</v>
      </c>
      <c r="Q89" s="347">
        <f>IFERROR(WO_Data_Masterlist[[#This Row],[ANNUAL ENERGY PER UNIT]]*WO_Data_Masterlist[[#This Row],[QUANTITY NON-LINEAR INFRASTRUCTURE]], 0)</f>
        <v>0</v>
      </c>
      <c r="R89" s="374" t="str">
        <f>IF(SUM(WO_Data_Masterlist[[#This Row],[QUANTITY LINEAR INFRASTRUCTURE]:[QUANTITY NON-LINEAR INFRASTRUCTURE]])&gt;0, "YES", "NO")</f>
        <v>NO</v>
      </c>
      <c r="S89"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3037.8637241379311</v>
      </c>
    </row>
    <row r="90" spans="1:19" x14ac:dyDescent="0.25">
      <c r="A90" s="370" t="s">
        <v>451</v>
      </c>
      <c r="B90" s="370" t="s">
        <v>26</v>
      </c>
      <c r="C90" s="370" t="s">
        <v>107</v>
      </c>
      <c r="D90" s="370" t="s">
        <v>106</v>
      </c>
      <c r="E90" s="370" t="s">
        <v>449</v>
      </c>
      <c r="F90" s="320" t="s">
        <v>183</v>
      </c>
      <c r="G90" s="320">
        <v>4</v>
      </c>
      <c r="H90" s="348" t="s">
        <v>192</v>
      </c>
      <c r="I90" s="349">
        <v>2</v>
      </c>
      <c r="J90" s="350">
        <v>1</v>
      </c>
      <c r="K90" s="351">
        <v>0</v>
      </c>
      <c r="L90" s="352">
        <v>0</v>
      </c>
      <c r="M90" s="352">
        <v>10</v>
      </c>
      <c r="N90" s="322" t="s">
        <v>192</v>
      </c>
      <c r="O90" s="358" t="str">
        <f>IFERROR(GETPIVOTDATA("ASSET GROUP",'TABLE OF CONTENTS'!$P$20,"ASSET COMPONENT",WO_Data_Masterlist[[#This Row],[ASSET COMPONENT]]), "N/A")</f>
        <v>N/A</v>
      </c>
      <c r="P90" s="322">
        <v>0</v>
      </c>
      <c r="Q90" s="347">
        <f>IFERROR(WO_Data_Masterlist[[#This Row],[ANNUAL ENERGY PER UNIT]]*WO_Data_Masterlist[[#This Row],[QUANTITY NON-LINEAR INFRASTRUCTURE]], 0)</f>
        <v>0</v>
      </c>
      <c r="R90" s="374" t="str">
        <f>IF(SUM(WO_Data_Masterlist[[#This Row],[QUANTITY LINEAR INFRASTRUCTURE]:[QUANTITY NON-LINEAR INFRASTRUCTURE]])&gt;0, "YES", "NO")</f>
        <v>NO</v>
      </c>
      <c r="S90"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353.86648275862069</v>
      </c>
    </row>
    <row r="91" spans="1:19" x14ac:dyDescent="0.25">
      <c r="A91" s="370" t="s">
        <v>452</v>
      </c>
      <c r="B91" s="370" t="s">
        <v>26</v>
      </c>
      <c r="C91" s="370" t="s">
        <v>107</v>
      </c>
      <c r="D91" s="370" t="s">
        <v>106</v>
      </c>
      <c r="E91" s="370" t="s">
        <v>453</v>
      </c>
      <c r="F91" s="320" t="s">
        <v>181</v>
      </c>
      <c r="G91" s="356">
        <v>40</v>
      </c>
      <c r="H91" s="348" t="s">
        <v>192</v>
      </c>
      <c r="I91" s="349">
        <v>0.25</v>
      </c>
      <c r="J91" s="350">
        <v>0.25</v>
      </c>
      <c r="K91" s="351">
        <v>0</v>
      </c>
      <c r="L91" s="352">
        <v>0</v>
      </c>
      <c r="M91" s="352">
        <v>0</v>
      </c>
      <c r="N91" s="322" t="s">
        <v>192</v>
      </c>
      <c r="O91" s="358" t="str">
        <f>IFERROR(GETPIVOTDATA("ASSET GROUP",'TABLE OF CONTENTS'!$P$20,"ASSET COMPONENT",WO_Data_Masterlist[[#This Row],[ASSET COMPONENT]]), "N/A")</f>
        <v>N/A</v>
      </c>
      <c r="P91" s="322">
        <v>0</v>
      </c>
      <c r="Q91" s="347">
        <f>IFERROR(WO_Data_Masterlist[[#This Row],[ANNUAL ENERGY PER UNIT]]*WO_Data_Masterlist[[#This Row],[QUANTITY NON-LINEAR INFRASTRUCTURE]], 0)</f>
        <v>0</v>
      </c>
      <c r="R91" s="374" t="str">
        <f>IF(SUM(WO_Data_Masterlist[[#This Row],[QUANTITY LINEAR INFRASTRUCTURE]:[QUANTITY NON-LINEAR INFRASTRUCTURE]])&gt;0, "YES", "NO")</f>
        <v>NO</v>
      </c>
      <c r="S91"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474.66620689655173</v>
      </c>
    </row>
    <row r="92" spans="1:19" x14ac:dyDescent="0.25">
      <c r="A92" s="370" t="s">
        <v>454</v>
      </c>
      <c r="B92" s="370" t="s">
        <v>26</v>
      </c>
      <c r="C92" s="370" t="s">
        <v>107</v>
      </c>
      <c r="D92" s="370" t="s">
        <v>106</v>
      </c>
      <c r="E92" s="370" t="s">
        <v>455</v>
      </c>
      <c r="F92" s="320" t="s">
        <v>182</v>
      </c>
      <c r="G92" s="356">
        <v>8</v>
      </c>
      <c r="H92" s="348" t="s">
        <v>192</v>
      </c>
      <c r="I92" s="349">
        <v>0.5</v>
      </c>
      <c r="J92" s="350">
        <v>0.5</v>
      </c>
      <c r="K92" s="351">
        <v>0</v>
      </c>
      <c r="L92" s="352">
        <v>0</v>
      </c>
      <c r="M92" s="352">
        <v>0</v>
      </c>
      <c r="N92" s="322" t="s">
        <v>192</v>
      </c>
      <c r="O92" s="358" t="str">
        <f>IFERROR(GETPIVOTDATA("ASSET GROUP",'TABLE OF CONTENTS'!$P$20,"ASSET COMPONENT",WO_Data_Masterlist[[#This Row],[ASSET COMPONENT]]), "N/A")</f>
        <v>N/A</v>
      </c>
      <c r="P92" s="322">
        <v>0</v>
      </c>
      <c r="Q92" s="347">
        <f>IFERROR(WO_Data_Masterlist[[#This Row],[ANNUAL ENERGY PER UNIT]]*WO_Data_Masterlist[[#This Row],[QUANTITY NON-LINEAR INFRASTRUCTURE]], 0)</f>
        <v>0</v>
      </c>
      <c r="R92" s="374" t="str">
        <f>IF(SUM(WO_Data_Masterlist[[#This Row],[QUANTITY LINEAR INFRASTRUCTURE]:[QUANTITY NON-LINEAR INFRASTRUCTURE]])&gt;0, "YES", "NO")</f>
        <v>NO</v>
      </c>
      <c r="S92"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189.86648275862069</v>
      </c>
    </row>
    <row r="93" spans="1:19" x14ac:dyDescent="0.25">
      <c r="A93" s="370" t="s">
        <v>456</v>
      </c>
      <c r="B93" s="370" t="s">
        <v>26</v>
      </c>
      <c r="C93" s="370" t="s">
        <v>107</v>
      </c>
      <c r="D93" s="370" t="s">
        <v>106</v>
      </c>
      <c r="E93" s="370" t="s">
        <v>457</v>
      </c>
      <c r="F93" s="320" t="s">
        <v>183</v>
      </c>
      <c r="G93" s="320">
        <v>4</v>
      </c>
      <c r="H93" s="348" t="s">
        <v>192</v>
      </c>
      <c r="I93" s="349">
        <v>2</v>
      </c>
      <c r="J93" s="350">
        <v>1</v>
      </c>
      <c r="K93" s="351">
        <v>0</v>
      </c>
      <c r="L93" s="352">
        <v>0</v>
      </c>
      <c r="M93" s="352">
        <v>0</v>
      </c>
      <c r="N93" s="322" t="s">
        <v>192</v>
      </c>
      <c r="O93" s="358" t="str">
        <f>IFERROR(GETPIVOTDATA("ASSET GROUP",'TABLE OF CONTENTS'!$P$20,"ASSET COMPONENT",WO_Data_Masterlist[[#This Row],[ASSET COMPONENT]]), "N/A")</f>
        <v>N/A</v>
      </c>
      <c r="P93" s="322">
        <v>0</v>
      </c>
      <c r="Q93" s="347">
        <f>IFERROR(WO_Data_Masterlist[[#This Row],[ANNUAL ENERGY PER UNIT]]*WO_Data_Masterlist[[#This Row],[QUANTITY NON-LINEAR INFRASTRUCTURE]], 0)</f>
        <v>0</v>
      </c>
      <c r="R93" s="374" t="str">
        <f>IF(SUM(WO_Data_Masterlist[[#This Row],[QUANTITY LINEAR INFRASTRUCTURE]:[QUANTITY NON-LINEAR INFRASTRUCTURE]])&gt;0, "YES", "NO")</f>
        <v>NO</v>
      </c>
      <c r="S93"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313.86648275862069</v>
      </c>
    </row>
    <row r="94" spans="1:19" x14ac:dyDescent="0.25">
      <c r="A94" s="370" t="s">
        <v>458</v>
      </c>
      <c r="B94" s="370" t="s">
        <v>26</v>
      </c>
      <c r="C94" s="370" t="s">
        <v>107</v>
      </c>
      <c r="D94" s="370" t="s">
        <v>106</v>
      </c>
      <c r="E94" s="370" t="s">
        <v>459</v>
      </c>
      <c r="F94" s="320" t="s">
        <v>182</v>
      </c>
      <c r="G94" s="320">
        <v>12</v>
      </c>
      <c r="H94" s="348" t="s">
        <v>192</v>
      </c>
      <c r="I94" s="349">
        <v>2</v>
      </c>
      <c r="J94" s="350">
        <v>1</v>
      </c>
      <c r="K94" s="351">
        <v>0</v>
      </c>
      <c r="L94" s="352">
        <v>0</v>
      </c>
      <c r="M94" s="352">
        <v>25</v>
      </c>
      <c r="N94" s="322" t="s">
        <v>192</v>
      </c>
      <c r="O94" s="358" t="str">
        <f>IFERROR(GETPIVOTDATA("ASSET GROUP",'TABLE OF CONTENTS'!$P$20,"ASSET COMPONENT",WO_Data_Masterlist[[#This Row],[ASSET COMPONENT]]), "N/A")</f>
        <v>N/A</v>
      </c>
      <c r="P94" s="322">
        <v>0</v>
      </c>
      <c r="Q94" s="347">
        <f>IFERROR(WO_Data_Masterlist[[#This Row],[ANNUAL ENERGY PER UNIT]]*WO_Data_Masterlist[[#This Row],[QUANTITY NON-LINEAR INFRASTRUCTURE]], 0)</f>
        <v>0</v>
      </c>
      <c r="R94" s="374" t="str">
        <f>IF(SUM(WO_Data_Masterlist[[#This Row],[QUANTITY LINEAR INFRASTRUCTURE]:[QUANTITY NON-LINEAR INFRASTRUCTURE]])&gt;0, "YES", "NO")</f>
        <v>NO</v>
      </c>
      <c r="S94"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1241.599448275862</v>
      </c>
    </row>
    <row r="95" spans="1:19" x14ac:dyDescent="0.25">
      <c r="A95" s="370" t="s">
        <v>460</v>
      </c>
      <c r="B95" s="370" t="s">
        <v>26</v>
      </c>
      <c r="C95" s="370" t="s">
        <v>107</v>
      </c>
      <c r="D95" s="370" t="s">
        <v>106</v>
      </c>
      <c r="E95" s="370" t="s">
        <v>461</v>
      </c>
      <c r="F95" s="320" t="s">
        <v>186</v>
      </c>
      <c r="G95" s="320">
        <v>2</v>
      </c>
      <c r="H95" s="348" t="s">
        <v>192</v>
      </c>
      <c r="I95" s="349">
        <v>1</v>
      </c>
      <c r="J95" s="350">
        <v>1</v>
      </c>
      <c r="K95" s="351">
        <v>0</v>
      </c>
      <c r="L95" s="352">
        <v>0</v>
      </c>
      <c r="M95" s="352">
        <v>25</v>
      </c>
      <c r="N95" s="322" t="s">
        <v>192</v>
      </c>
      <c r="O95" s="358" t="str">
        <f>IFERROR(GETPIVOTDATA("ASSET GROUP",'TABLE OF CONTENTS'!$P$20,"ASSET COMPONENT",WO_Data_Masterlist[[#This Row],[ASSET COMPONENT]]), "N/A")</f>
        <v>N/A</v>
      </c>
      <c r="P95" s="322">
        <v>0</v>
      </c>
      <c r="Q95" s="347">
        <f>IFERROR(WO_Data_Masterlist[[#This Row],[ANNUAL ENERGY PER UNIT]]*WO_Data_Masterlist[[#This Row],[QUANTITY NON-LINEAR INFRASTRUCTURE]], 0)</f>
        <v>0</v>
      </c>
      <c r="R95" s="374" t="str">
        <f>IF(SUM(WO_Data_Masterlist[[#This Row],[QUANTITY LINEAR INFRASTRUCTURE]:[QUANTITY NON-LINEAR INFRASTRUCTURE]])&gt;0, "YES", "NO")</f>
        <v>NO</v>
      </c>
      <c r="S95" s="374">
        <f>IFERROR(IF(WO_Data_Masterlist[[#This Row],[QUANTITY LINEAR INFRASTRUCTURE]]="N/A",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 (((((WO_Data_Masterlist[[#This Row],[OPERATOR HOURS per TASK]]*$M$4)+(WO_Data_Masterlist[[#This Row],[TRUCK HOURS]]*$M$5))+WO_Data_Masterlist[[#This Row],[CONTRACTOR COST]]+WO_Data_Masterlist[[#This Row],[EQUIPMENT]]+WO_Data_Masterlist[[#This Row],[PARTS AND MATERIALS]])*WO_Data_Masterlist[[#This Row],[FREQUENCY (TIMES PER YEAR)]])+WO_Data_Masterlist[[#This Row],[ANNUAL ENERGY PER UNIT]])/WO_Data_Masterlist[[#This Row],[QUANTITY LINEAR INFRASTRUCTURE]]), 0)</f>
        <v>144.93324137931035</v>
      </c>
    </row>
    <row r="96" spans="1:19" x14ac:dyDescent="0.25">
      <c r="H96" s="348"/>
      <c r="I96" s="365"/>
      <c r="J96" s="366"/>
      <c r="K96" s="351"/>
      <c r="L96" s="352"/>
      <c r="M96" s="352"/>
      <c r="N96" s="352"/>
      <c r="O96" s="358"/>
      <c r="Q96" s="347"/>
    </row>
    <row r="97" spans="1:17" x14ac:dyDescent="0.25">
      <c r="H97" s="348"/>
      <c r="I97" s="365"/>
      <c r="J97" s="366"/>
      <c r="K97" s="351"/>
      <c r="L97" s="352"/>
      <c r="M97" s="352"/>
      <c r="N97" s="352"/>
      <c r="O97" s="358"/>
      <c r="Q97" s="347"/>
    </row>
    <row r="98" spans="1:17" x14ac:dyDescent="0.25">
      <c r="A98" s="353"/>
      <c r="H98" s="348"/>
      <c r="I98" s="365"/>
      <c r="J98" s="367"/>
      <c r="K98" s="351"/>
      <c r="L98" s="352"/>
      <c r="M98" s="352"/>
      <c r="N98" s="352"/>
      <c r="O98" s="358"/>
      <c r="Q98" s="347"/>
    </row>
    <row r="99" spans="1:17" x14ac:dyDescent="0.25">
      <c r="A99" s="353"/>
      <c r="H99" s="348"/>
      <c r="I99" s="365"/>
      <c r="J99" s="367"/>
      <c r="K99" s="351"/>
      <c r="L99" s="352"/>
      <c r="M99" s="352"/>
      <c r="N99" s="352"/>
      <c r="O99" s="358"/>
      <c r="Q99" s="347"/>
    </row>
    <row r="100" spans="1:17" x14ac:dyDescent="0.25">
      <c r="A100" s="353"/>
      <c r="H100" s="348"/>
      <c r="I100" s="365"/>
      <c r="J100" s="367"/>
      <c r="K100" s="351"/>
      <c r="L100" s="352"/>
      <c r="M100" s="352"/>
      <c r="N100" s="352"/>
      <c r="O100" s="358"/>
      <c r="Q100" s="347"/>
    </row>
  </sheetData>
  <sheetProtection sheet="1" sort="0" autoFilter="0" pivotTables="0"/>
  <mergeCells count="2">
    <mergeCell ref="D2:D3"/>
    <mergeCell ref="L3:M3"/>
  </mergeCells>
  <phoneticPr fontId="10" type="noConversion"/>
  <hyperlinks>
    <hyperlink ref="D2:D3" location="'TABLE OF CONTENTS'!A1" display="Return to Table of Contents" xr:uid="{27535E17-C77C-4255-AFEA-51901ACA7DBE}"/>
  </hyperlinks>
  <pageMargins left="0.25" right="0.25" top="0.75" bottom="0.75" header="0.3" footer="0.3"/>
  <pageSetup paperSize="3" scale="41" orientation="landscape" horizontalDpi="1200" verticalDpi="12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2AC62-B231-4227-B684-C0BF1CEE9ED6}">
  <dimension ref="A1:T79"/>
  <sheetViews>
    <sheetView zoomScale="75" zoomScaleNormal="75" workbookViewId="0">
      <selection activeCell="L27" sqref="L27"/>
    </sheetView>
  </sheetViews>
  <sheetFormatPr defaultRowHeight="15" x14ac:dyDescent="0.25"/>
  <cols>
    <col min="1" max="1" width="13.140625" style="24" customWidth="1"/>
    <col min="2" max="2" width="46.42578125" style="24" customWidth="1"/>
    <col min="3" max="3" width="49.85546875" style="24" customWidth="1"/>
    <col min="4" max="4" width="9.140625" style="24"/>
    <col min="5" max="5" width="17.85546875" style="24" customWidth="1"/>
    <col min="6" max="6" width="9.140625" style="24"/>
    <col min="7" max="7" width="11.42578125" style="24" customWidth="1"/>
    <col min="8" max="8" width="11.5703125" style="24" customWidth="1"/>
    <col min="9" max="9" width="14.7109375" style="24" customWidth="1"/>
    <col min="10" max="10" width="15.85546875" style="24" customWidth="1"/>
    <col min="11" max="11" width="19.28515625" style="24" customWidth="1"/>
    <col min="12" max="12" width="18.140625" style="9" customWidth="1"/>
    <col min="13" max="13" width="15.85546875" style="9" customWidth="1"/>
    <col min="14" max="15" width="13.42578125" style="9" customWidth="1"/>
    <col min="16" max="16" width="18.5703125" style="24" customWidth="1"/>
    <col min="17" max="17" width="11.5703125" style="24" bestFit="1" customWidth="1"/>
    <col min="18" max="18" width="15.5703125" style="24" customWidth="1"/>
    <col min="19" max="19" width="15.85546875" style="24" customWidth="1"/>
    <col min="20" max="16384" width="9.140625" style="24"/>
  </cols>
  <sheetData>
    <row r="1" spans="1:20" x14ac:dyDescent="0.25">
      <c r="F1" s="25"/>
    </row>
    <row r="2" spans="1:20" ht="15.75" thickBot="1" x14ac:dyDescent="0.3">
      <c r="E2" s="471" t="s">
        <v>130</v>
      </c>
      <c r="F2" s="22"/>
      <c r="H2" s="25"/>
      <c r="I2" s="25"/>
      <c r="J2" s="25"/>
      <c r="K2" s="45"/>
      <c r="L2" s="109" t="s">
        <v>254</v>
      </c>
      <c r="M2" s="77"/>
      <c r="N2" s="77"/>
      <c r="O2" s="77"/>
      <c r="P2" s="45"/>
      <c r="Q2" s="45"/>
      <c r="R2" s="45"/>
      <c r="S2" s="45"/>
    </row>
    <row r="3" spans="1:20" x14ac:dyDescent="0.25">
      <c r="E3" s="472"/>
      <c r="F3" s="22"/>
      <c r="H3" s="409"/>
      <c r="I3" s="409"/>
      <c r="J3" s="409"/>
      <c r="L3" s="127" t="s">
        <v>230</v>
      </c>
      <c r="M3" s="128"/>
      <c r="N3" s="129"/>
      <c r="O3" s="45"/>
      <c r="P3" s="45"/>
      <c r="T3" s="45"/>
    </row>
    <row r="4" spans="1:20" x14ac:dyDescent="0.25">
      <c r="H4" s="25"/>
      <c r="I4" s="406"/>
      <c r="J4" s="406"/>
      <c r="L4" s="33" t="s">
        <v>236</v>
      </c>
      <c r="M4" s="230">
        <f>'TABLE OF CONTENTS'!K28</f>
        <v>5</v>
      </c>
      <c r="N4" s="34" t="s">
        <v>237</v>
      </c>
      <c r="O4" s="24"/>
      <c r="T4" s="45"/>
    </row>
    <row r="5" spans="1:20" x14ac:dyDescent="0.25">
      <c r="H5" s="25"/>
      <c r="I5" s="407"/>
      <c r="J5" s="407"/>
      <c r="L5" s="33" t="s">
        <v>238</v>
      </c>
      <c r="M5" s="230">
        <f>'TABLE OF CONTENTS'!K30</f>
        <v>14</v>
      </c>
      <c r="N5" s="34" t="s">
        <v>237</v>
      </c>
      <c r="O5" s="24"/>
      <c r="T5" s="45"/>
    </row>
    <row r="6" spans="1:20" ht="15.75" x14ac:dyDescent="0.25">
      <c r="A6" s="1" t="s">
        <v>229</v>
      </c>
      <c r="H6" s="25"/>
      <c r="I6" s="407"/>
      <c r="J6" s="407"/>
      <c r="L6" s="125" t="s">
        <v>239</v>
      </c>
      <c r="M6" s="230">
        <f>'TABLE OF CONTENTS'!K29</f>
        <v>12</v>
      </c>
      <c r="N6" s="34" t="s">
        <v>237</v>
      </c>
      <c r="O6" s="24"/>
      <c r="T6" s="45"/>
    </row>
    <row r="7" spans="1:20" ht="15.75" thickBot="1" x14ac:dyDescent="0.3">
      <c r="H7" s="25"/>
      <c r="I7" s="407"/>
      <c r="J7" s="407"/>
      <c r="L7" s="126" t="s">
        <v>250</v>
      </c>
      <c r="M7" s="231">
        <v>6500</v>
      </c>
      <c r="N7" s="36" t="s">
        <v>237</v>
      </c>
      <c r="O7" s="24"/>
      <c r="T7" s="45"/>
    </row>
    <row r="8" spans="1:20" ht="15.75" thickBot="1" x14ac:dyDescent="0.3">
      <c r="H8" s="25"/>
      <c r="I8" s="407"/>
      <c r="J8" s="407"/>
      <c r="L8" s="45"/>
      <c r="M8" s="45"/>
      <c r="N8" s="45"/>
      <c r="O8" s="24"/>
      <c r="T8" s="45"/>
    </row>
    <row r="9" spans="1:20" ht="15.75" thickBot="1" x14ac:dyDescent="0.3">
      <c r="H9" s="25"/>
      <c r="I9" s="407"/>
      <c r="J9" s="407"/>
      <c r="L9" s="158" t="s">
        <v>232</v>
      </c>
      <c r="M9" s="159"/>
      <c r="N9" s="160"/>
      <c r="O9" s="45"/>
      <c r="T9" s="45"/>
    </row>
    <row r="10" spans="1:20" x14ac:dyDescent="0.25">
      <c r="H10" s="25"/>
      <c r="I10" s="407"/>
      <c r="J10" s="407"/>
      <c r="L10" s="112" t="s">
        <v>344</v>
      </c>
      <c r="M10" s="161">
        <f>IFERROR(GETPIVOTDATA("LENGTH (m)",'2. ASSET INVENTORY - SANI MAIN'!$D$4,"ASSET COMPONENT","main")/1000,0)</f>
        <v>5</v>
      </c>
      <c r="N10" s="113" t="s">
        <v>233</v>
      </c>
      <c r="O10" s="58" t="s">
        <v>244</v>
      </c>
      <c r="P10" s="45"/>
      <c r="T10" s="45"/>
    </row>
    <row r="11" spans="1:20" x14ac:dyDescent="0.25">
      <c r="H11" s="25"/>
      <c r="I11" s="407"/>
      <c r="J11" s="407"/>
      <c r="L11" s="33" t="s">
        <v>345</v>
      </c>
      <c r="M11" s="139">
        <f>IFERROR(GETPIVOTDATA("LENGTH (m)",'2. ASSET INVENTORY - SANI MAIN'!$D$4,"ASSET COMPONENT","Forcemain")/1000,0)</f>
        <v>0</v>
      </c>
      <c r="N11" s="46" t="s">
        <v>233</v>
      </c>
      <c r="O11" s="58" t="s">
        <v>244</v>
      </c>
      <c r="P11" s="45"/>
      <c r="T11" s="45"/>
    </row>
    <row r="12" spans="1:20" ht="15.75" x14ac:dyDescent="0.25">
      <c r="A12" s="1"/>
      <c r="H12" s="25"/>
      <c r="I12" s="25"/>
      <c r="J12" s="25"/>
      <c r="L12" s="33" t="s">
        <v>231</v>
      </c>
      <c r="M12" s="139">
        <f>(SUM(Watermain_Inventory[LENGTH (m)]))/1000</f>
        <v>10</v>
      </c>
      <c r="N12" s="46" t="s">
        <v>233</v>
      </c>
      <c r="O12" s="58" t="s">
        <v>243</v>
      </c>
      <c r="P12" s="45"/>
      <c r="T12" s="45"/>
    </row>
    <row r="13" spans="1:20" ht="15.75" x14ac:dyDescent="0.25">
      <c r="A13" s="1"/>
      <c r="H13" s="234"/>
      <c r="I13" s="408"/>
      <c r="J13" s="408"/>
      <c r="L13" s="120" t="s">
        <v>234</v>
      </c>
      <c r="M13" s="118">
        <f>'TABLE OF CONTENTS'!Q16</f>
        <v>50</v>
      </c>
      <c r="N13" s="121"/>
      <c r="O13" s="119" t="s">
        <v>517</v>
      </c>
      <c r="P13" s="45"/>
      <c r="Q13" s="118"/>
      <c r="T13" s="45"/>
    </row>
    <row r="14" spans="1:20" ht="15.75" x14ac:dyDescent="0.25">
      <c r="A14" s="1"/>
      <c r="H14" s="234"/>
      <c r="I14" s="408"/>
      <c r="J14" s="408"/>
      <c r="L14" s="120" t="s">
        <v>235</v>
      </c>
      <c r="M14" s="118">
        <f>'TABLE OF CONTENTS'!Q17</f>
        <v>120</v>
      </c>
      <c r="N14" s="121"/>
      <c r="O14" s="119" t="s">
        <v>517</v>
      </c>
      <c r="P14" s="45"/>
      <c r="Q14" s="118"/>
      <c r="T14" s="45"/>
    </row>
    <row r="15" spans="1:20" ht="16.5" thickBot="1" x14ac:dyDescent="0.3">
      <c r="A15" s="1"/>
      <c r="H15" s="25"/>
      <c r="I15" s="25"/>
      <c r="J15" s="25"/>
      <c r="L15" s="122" t="s">
        <v>240</v>
      </c>
      <c r="M15" s="123">
        <f>'TABLE OF CONTENTS'!Q18</f>
        <v>70</v>
      </c>
      <c r="N15" s="124"/>
      <c r="O15" s="119" t="s">
        <v>517</v>
      </c>
      <c r="P15" s="45"/>
      <c r="Q15" s="118"/>
      <c r="R15" s="45"/>
      <c r="S15" s="45"/>
      <c r="T15" s="45"/>
    </row>
    <row r="16" spans="1:20" ht="15.75" x14ac:dyDescent="0.25">
      <c r="A16" s="1"/>
      <c r="L16" s="234"/>
      <c r="M16" s="118"/>
      <c r="N16" s="234"/>
      <c r="O16" s="119"/>
      <c r="P16" s="45"/>
      <c r="Q16" s="45"/>
      <c r="R16" s="45"/>
      <c r="S16" s="45"/>
      <c r="T16" s="45"/>
    </row>
    <row r="17" spans="1:20" ht="15.75" x14ac:dyDescent="0.25">
      <c r="A17" s="1"/>
      <c r="L17" s="234"/>
      <c r="M17" s="118"/>
      <c r="N17" s="234"/>
      <c r="O17" s="119"/>
      <c r="P17" s="45"/>
      <c r="Q17" s="45"/>
      <c r="R17" s="45"/>
      <c r="S17" s="45"/>
      <c r="T17" s="45"/>
    </row>
    <row r="18" spans="1:20" ht="15.75" x14ac:dyDescent="0.25">
      <c r="A18" s="1"/>
      <c r="H18" s="45"/>
      <c r="I18" s="45"/>
      <c r="J18" s="45"/>
      <c r="K18" s="45"/>
      <c r="L18" s="77"/>
      <c r="M18" s="77"/>
      <c r="N18" s="77"/>
      <c r="O18" s="77"/>
      <c r="P18" s="45"/>
      <c r="Q18" s="45"/>
      <c r="R18" s="45"/>
      <c r="S18" s="45"/>
      <c r="T18" s="45"/>
    </row>
    <row r="19" spans="1:20" ht="15.75" thickBot="1" x14ac:dyDescent="0.3">
      <c r="J19" s="45"/>
      <c r="K19" s="45"/>
      <c r="L19" s="77"/>
      <c r="M19" s="77"/>
      <c r="N19" s="77"/>
      <c r="O19" s="77"/>
      <c r="P19" s="45"/>
      <c r="Q19" s="45"/>
      <c r="R19" s="45"/>
      <c r="S19" s="45"/>
    </row>
    <row r="20" spans="1:20" s="107" customFormat="1" ht="45" x14ac:dyDescent="0.25">
      <c r="A20" s="104" t="s">
        <v>203</v>
      </c>
      <c r="B20" s="104" t="s">
        <v>11</v>
      </c>
      <c r="C20" s="104" t="s">
        <v>209</v>
      </c>
      <c r="D20" s="104" t="s">
        <v>211</v>
      </c>
      <c r="E20" s="104" t="s">
        <v>210</v>
      </c>
      <c r="F20" s="142" t="s">
        <v>409</v>
      </c>
      <c r="G20" s="104" t="s">
        <v>241</v>
      </c>
      <c r="H20" s="103" t="s">
        <v>245</v>
      </c>
      <c r="I20" s="105" t="s">
        <v>283</v>
      </c>
      <c r="J20" s="108" t="s">
        <v>253</v>
      </c>
      <c r="K20" s="105" t="s">
        <v>246</v>
      </c>
      <c r="L20" s="147" t="s">
        <v>284</v>
      </c>
      <c r="M20" s="147" t="s">
        <v>285</v>
      </c>
      <c r="N20" s="147" t="s">
        <v>286</v>
      </c>
      <c r="O20" s="106" t="s">
        <v>249</v>
      </c>
    </row>
    <row r="21" spans="1:20" x14ac:dyDescent="0.25">
      <c r="A21" s="59" t="s">
        <v>3</v>
      </c>
      <c r="B21" s="59" t="str">
        <f>VLOOKUP('ii. WO Linear Infr. Mnt Hours'!A21,WO_Data_Masterlist[],5,FALSE)</f>
        <v>Annual Sanitary Main Inspection</v>
      </c>
      <c r="C21" s="59"/>
      <c r="D21" s="59"/>
      <c r="E21" s="59"/>
      <c r="F21" s="59"/>
      <c r="G21" s="60">
        <f>SUM(F22:F26)</f>
        <v>40</v>
      </c>
      <c r="H21" s="67">
        <v>1</v>
      </c>
      <c r="I21" s="68"/>
      <c r="J21" s="141">
        <f>SUM(I22:I26)*H21</f>
        <v>8</v>
      </c>
      <c r="K21" s="78">
        <f>J21*('TABLE OF CONTENTS'!K15+'TABLE OF CONTENTS'!K16)</f>
        <v>379.73296551724138</v>
      </c>
      <c r="L21" s="383">
        <v>150</v>
      </c>
      <c r="M21" s="383">
        <v>125</v>
      </c>
      <c r="N21" s="81">
        <v>0</v>
      </c>
      <c r="O21" s="82">
        <f>IFERROR(K21+((SUM(L21:N21)/$M$10)*H21),0)</f>
        <v>434.73296551724138</v>
      </c>
    </row>
    <row r="22" spans="1:20" x14ac:dyDescent="0.25">
      <c r="A22" s="51"/>
      <c r="B22" s="111" t="s">
        <v>339</v>
      </c>
      <c r="C22" s="24" t="s">
        <v>223</v>
      </c>
      <c r="D22" s="376">
        <v>0.25</v>
      </c>
      <c r="E22" s="24" t="s">
        <v>217</v>
      </c>
      <c r="F22" s="38">
        <f>D22*M15</f>
        <v>17.5</v>
      </c>
      <c r="H22" s="33"/>
      <c r="I22" s="140">
        <f>IFERROR(F22/$M$10,0)</f>
        <v>3.5</v>
      </c>
      <c r="J22" s="45"/>
      <c r="K22" s="54"/>
      <c r="L22" s="384"/>
      <c r="M22" s="384"/>
      <c r="N22" s="77"/>
      <c r="O22" s="34"/>
    </row>
    <row r="23" spans="1:20" x14ac:dyDescent="0.25">
      <c r="A23" s="51"/>
      <c r="C23" s="24" t="s">
        <v>218</v>
      </c>
      <c r="D23" s="376">
        <v>0.6</v>
      </c>
      <c r="E23" s="24" t="s">
        <v>216</v>
      </c>
      <c r="F23" s="38">
        <f>D23*M10</f>
        <v>3</v>
      </c>
      <c r="H23" s="33"/>
      <c r="I23" s="140">
        <f t="shared" ref="I23:I26" si="0">IFERROR(F23/$M$10,0)</f>
        <v>0.6</v>
      </c>
      <c r="J23" s="45"/>
      <c r="K23" s="144"/>
      <c r="L23" s="384"/>
      <c r="M23" s="384"/>
      <c r="N23" s="77"/>
      <c r="O23" s="34"/>
    </row>
    <row r="24" spans="1:20" x14ac:dyDescent="0.25">
      <c r="A24" s="51"/>
      <c r="C24" s="24" t="s">
        <v>225</v>
      </c>
      <c r="D24" s="376">
        <v>1</v>
      </c>
      <c r="E24" s="24" t="s">
        <v>226</v>
      </c>
      <c r="F24" s="38">
        <f>D24*(M15/4)</f>
        <v>17.5</v>
      </c>
      <c r="H24" s="33"/>
      <c r="I24" s="140">
        <f t="shared" si="0"/>
        <v>3.5</v>
      </c>
      <c r="J24" s="45"/>
      <c r="K24" s="54"/>
      <c r="L24" s="384"/>
      <c r="M24" s="384"/>
      <c r="N24" s="77"/>
      <c r="O24" s="34"/>
    </row>
    <row r="25" spans="1:20" x14ac:dyDescent="0.25">
      <c r="A25" s="51"/>
      <c r="C25" s="24" t="s">
        <v>224</v>
      </c>
      <c r="D25" s="376">
        <v>1</v>
      </c>
      <c r="E25" s="24" t="s">
        <v>222</v>
      </c>
      <c r="F25" s="38">
        <f>D25</f>
        <v>1</v>
      </c>
      <c r="H25" s="33"/>
      <c r="I25" s="140">
        <f t="shared" si="0"/>
        <v>0.2</v>
      </c>
      <c r="J25" s="45"/>
      <c r="K25" s="54"/>
      <c r="L25" s="384"/>
      <c r="M25" s="384"/>
      <c r="N25" s="77"/>
      <c r="O25" s="34"/>
    </row>
    <row r="26" spans="1:20" x14ac:dyDescent="0.25">
      <c r="A26" s="51"/>
      <c r="C26" s="24" t="s">
        <v>204</v>
      </c>
      <c r="D26" s="376">
        <v>1</v>
      </c>
      <c r="E26" s="24" t="s">
        <v>222</v>
      </c>
      <c r="F26" s="38">
        <f>D26</f>
        <v>1</v>
      </c>
      <c r="H26" s="33"/>
      <c r="I26" s="140">
        <f t="shared" si="0"/>
        <v>0.2</v>
      </c>
      <c r="J26" s="45"/>
      <c r="K26" s="54"/>
      <c r="L26" s="384"/>
      <c r="M26" s="384"/>
      <c r="N26" s="77"/>
      <c r="O26" s="34"/>
    </row>
    <row r="27" spans="1:20" x14ac:dyDescent="0.25">
      <c r="A27" s="59" t="s">
        <v>28</v>
      </c>
      <c r="B27" s="59" t="str">
        <f>VLOOKUP('ii. WO Linear Infr. Mnt Hours'!A27,WO_Data_Masterlist[],5,FALSE)</f>
        <v>Main Flushing and Cleaning</v>
      </c>
      <c r="C27" s="59"/>
      <c r="D27" s="377"/>
      <c r="E27" s="59"/>
      <c r="F27" s="60"/>
      <c r="G27" s="60">
        <f>SUM(F28:F30)</f>
        <v>57</v>
      </c>
      <c r="H27" s="67">
        <v>0.33</v>
      </c>
      <c r="I27" s="68"/>
      <c r="J27" s="141">
        <f>SUM(I28:I30)*H27</f>
        <v>3.7619999999999996</v>
      </c>
      <c r="K27" s="78">
        <f>J27*('TABLE OF CONTENTS'!$K$15+'TABLE OF CONTENTS'!$K$16)</f>
        <v>178.56942703448274</v>
      </c>
      <c r="L27" s="383">
        <v>100</v>
      </c>
      <c r="M27" s="383">
        <v>50</v>
      </c>
      <c r="N27" s="81">
        <v>0</v>
      </c>
      <c r="O27" s="82">
        <f>IFERROR(K27+((SUM(L27:N27)/$M$10)*H27),0)</f>
        <v>188.46942703448275</v>
      </c>
    </row>
    <row r="28" spans="1:20" x14ac:dyDescent="0.25">
      <c r="A28" s="51"/>
      <c r="B28" s="111" t="s">
        <v>338</v>
      </c>
      <c r="C28" s="24" t="s">
        <v>227</v>
      </c>
      <c r="D28" s="376">
        <v>0.3</v>
      </c>
      <c r="E28" s="24" t="s">
        <v>217</v>
      </c>
      <c r="F28" s="38">
        <f>D28*M15</f>
        <v>21</v>
      </c>
      <c r="H28" s="33"/>
      <c r="I28" s="140">
        <f>IFERROR(F28/$M$10,0)</f>
        <v>4.2</v>
      </c>
      <c r="J28" s="45"/>
      <c r="K28" s="54"/>
      <c r="L28" s="384"/>
      <c r="M28" s="384"/>
      <c r="N28" s="77"/>
      <c r="O28" s="34"/>
    </row>
    <row r="29" spans="1:20" x14ac:dyDescent="0.25">
      <c r="A29" s="51"/>
      <c r="C29" s="24" t="s">
        <v>228</v>
      </c>
      <c r="D29" s="376">
        <v>0.5</v>
      </c>
      <c r="E29" s="24" t="s">
        <v>217</v>
      </c>
      <c r="F29" s="38">
        <f>D29*M15</f>
        <v>35</v>
      </c>
      <c r="H29" s="33"/>
      <c r="I29" s="140">
        <f t="shared" ref="I29:I30" si="1">IFERROR(F29/$M$10,0)</f>
        <v>7</v>
      </c>
      <c r="J29" s="45"/>
      <c r="K29" s="54"/>
      <c r="L29" s="384"/>
      <c r="M29" s="384"/>
      <c r="N29" s="77"/>
      <c r="O29" s="34"/>
    </row>
    <row r="30" spans="1:20" x14ac:dyDescent="0.25">
      <c r="A30" s="51"/>
      <c r="C30" s="24" t="s">
        <v>204</v>
      </c>
      <c r="D30" s="376">
        <v>1</v>
      </c>
      <c r="E30" s="24" t="s">
        <v>222</v>
      </c>
      <c r="F30" s="38">
        <f>D30</f>
        <v>1</v>
      </c>
      <c r="H30" s="33"/>
      <c r="I30" s="140">
        <f t="shared" si="1"/>
        <v>0.2</v>
      </c>
      <c r="J30" s="45"/>
      <c r="K30" s="54"/>
      <c r="L30" s="384"/>
      <c r="M30" s="384"/>
      <c r="N30" s="77"/>
      <c r="O30" s="34"/>
    </row>
    <row r="31" spans="1:20" s="57" customFormat="1" x14ac:dyDescent="0.25">
      <c r="A31" s="59" t="s">
        <v>30</v>
      </c>
      <c r="B31" s="59" t="str">
        <f>VLOOKUP('ii. WO Linear Infr. Mnt Hours'!A31,WO_Data_Masterlist[],5,FALSE)</f>
        <v>CCTV Inspection</v>
      </c>
      <c r="C31" s="59"/>
      <c r="D31" s="377"/>
      <c r="E31" s="59"/>
      <c r="F31" s="60"/>
      <c r="G31" s="60">
        <f>SUM(F32:F33)</f>
        <v>11</v>
      </c>
      <c r="H31" s="69">
        <v>0.1</v>
      </c>
      <c r="I31" s="70"/>
      <c r="J31" s="143">
        <f>SUM(I32:I33)*H31</f>
        <v>0.22000000000000003</v>
      </c>
      <c r="K31" s="78">
        <f>J31*('TABLE OF CONTENTS'!$K$15+'TABLE OF CONTENTS'!$K$16)</f>
        <v>10.44265655172414</v>
      </c>
      <c r="L31" s="383">
        <v>0</v>
      </c>
      <c r="M31" s="383">
        <v>0</v>
      </c>
      <c r="N31" s="81">
        <f>M7*M10</f>
        <v>32500</v>
      </c>
      <c r="O31" s="82">
        <f>IFERROR(K31+((SUM(L31:N31)/$M$10)*H31),0)</f>
        <v>660.4426565517241</v>
      </c>
      <c r="Q31" s="145"/>
    </row>
    <row r="32" spans="1:20" x14ac:dyDescent="0.25">
      <c r="A32" s="51"/>
      <c r="C32" s="24" t="s">
        <v>242</v>
      </c>
      <c r="D32" s="376">
        <v>2</v>
      </c>
      <c r="E32" s="24" t="s">
        <v>216</v>
      </c>
      <c r="F32" s="38">
        <f>D32*M10</f>
        <v>10</v>
      </c>
      <c r="H32" s="33"/>
      <c r="I32" s="140">
        <f>IFERROR(F32/$M$10,0)</f>
        <v>2</v>
      </c>
      <c r="J32" s="45"/>
      <c r="K32" s="54"/>
      <c r="L32" s="384"/>
      <c r="M32" s="384"/>
      <c r="N32" s="77"/>
      <c r="O32" s="34"/>
    </row>
    <row r="33" spans="1:18" x14ac:dyDescent="0.25">
      <c r="A33" s="51"/>
      <c r="C33" s="24" t="s">
        <v>204</v>
      </c>
      <c r="D33" s="376">
        <v>1</v>
      </c>
      <c r="E33" s="24" t="s">
        <v>222</v>
      </c>
      <c r="F33" s="38">
        <f>D33</f>
        <v>1</v>
      </c>
      <c r="H33" s="33"/>
      <c r="I33" s="140">
        <f>IFERROR(F33/$M$10,0)</f>
        <v>0.2</v>
      </c>
      <c r="J33" s="45"/>
      <c r="K33" s="54"/>
      <c r="L33" s="384"/>
      <c r="M33" s="384"/>
      <c r="N33" s="77"/>
      <c r="O33" s="34"/>
    </row>
    <row r="34" spans="1:18" s="57" customFormat="1" x14ac:dyDescent="0.25">
      <c r="A34" s="59" t="s">
        <v>32</v>
      </c>
      <c r="B34" s="59" t="str">
        <f>VLOOKUP('ii. WO Linear Infr. Mnt Hours'!A34,WO_Data_Masterlist[],5,FALSE)</f>
        <v>Vac Truck</v>
      </c>
      <c r="C34" s="59"/>
      <c r="D34" s="377"/>
      <c r="E34" s="59"/>
      <c r="F34" s="60"/>
      <c r="G34" s="60">
        <f>SUM(F40:F41)</f>
        <v>0</v>
      </c>
      <c r="H34" s="69">
        <v>1</v>
      </c>
      <c r="I34" s="70"/>
      <c r="J34" s="70"/>
      <c r="K34" s="78">
        <f>J34*('TABLE OF CONTENTS'!$K$15+'TABLE OF CONTENTS'!$K$16)</f>
        <v>0</v>
      </c>
      <c r="L34" s="383">
        <v>0</v>
      </c>
      <c r="M34" s="383">
        <v>0</v>
      </c>
      <c r="N34" s="319">
        <v>1500</v>
      </c>
      <c r="O34" s="82">
        <f>IFERROR(K34+((SUM(L34:N34)/$M$10)*H34),)</f>
        <v>300</v>
      </c>
      <c r="Q34" s="145"/>
    </row>
    <row r="35" spans="1:18" s="57" customFormat="1" x14ac:dyDescent="0.25">
      <c r="D35" s="378"/>
      <c r="F35" s="153"/>
      <c r="G35" s="153"/>
      <c r="H35" s="137"/>
      <c r="I35" s="116"/>
      <c r="J35" s="116"/>
      <c r="K35" s="154"/>
      <c r="L35" s="385"/>
      <c r="M35" s="385"/>
      <c r="N35" s="155"/>
      <c r="O35" s="156"/>
      <c r="Q35" s="145"/>
    </row>
    <row r="36" spans="1:18" x14ac:dyDescent="0.25">
      <c r="A36" s="59" t="s">
        <v>340</v>
      </c>
      <c r="B36" s="59" t="str">
        <f>VLOOKUP('ii. WO Linear Infr. Mnt Hours'!A36,WO_Data_Masterlist[],5,FALSE)</f>
        <v>Annual Forcemain Inspection</v>
      </c>
      <c r="C36" s="59"/>
      <c r="D36" s="377"/>
      <c r="E36" s="59"/>
      <c r="F36" s="60"/>
      <c r="G36" s="60">
        <f>SUM(F37:F39)</f>
        <v>1</v>
      </c>
      <c r="H36" s="67">
        <v>1</v>
      </c>
      <c r="I36" s="68"/>
      <c r="J36" s="141">
        <f>SUM(I37:I39)*H36</f>
        <v>0</v>
      </c>
      <c r="K36" s="78">
        <f>J36*('TABLE OF CONTENTS'!$K$15+'TABLE OF CONTENTS'!$K$16)</f>
        <v>0</v>
      </c>
      <c r="L36" s="383">
        <v>100</v>
      </c>
      <c r="M36" s="383">
        <v>50</v>
      </c>
      <c r="N36" s="81">
        <v>0</v>
      </c>
      <c r="O36" s="82">
        <f>IFERROR(K36+((SUM(L36:N36)/$M$10)*H36),)</f>
        <v>30</v>
      </c>
    </row>
    <row r="37" spans="1:18" x14ac:dyDescent="0.25">
      <c r="A37" s="51"/>
      <c r="B37" s="111"/>
      <c r="C37" s="24" t="s">
        <v>342</v>
      </c>
      <c r="D37" s="376">
        <v>1</v>
      </c>
      <c r="E37" s="24" t="s">
        <v>216</v>
      </c>
      <c r="F37" s="30">
        <f>D37*M11</f>
        <v>0</v>
      </c>
      <c r="H37" s="33"/>
      <c r="I37" s="140">
        <f>IFERROR(F37/$M$11,)</f>
        <v>0</v>
      </c>
      <c r="J37" s="45"/>
      <c r="K37" s="54"/>
      <c r="L37" s="384"/>
      <c r="M37" s="384"/>
      <c r="N37" s="77"/>
      <c r="O37" s="34"/>
    </row>
    <row r="38" spans="1:18" x14ac:dyDescent="0.25">
      <c r="A38" s="51"/>
      <c r="C38" s="24" t="s">
        <v>343</v>
      </c>
      <c r="D38" s="376">
        <v>0.25</v>
      </c>
      <c r="E38" s="24" t="s">
        <v>476</v>
      </c>
      <c r="F38" s="38">
        <f>D38*M24</f>
        <v>0</v>
      </c>
      <c r="H38" s="33"/>
      <c r="I38" s="140">
        <f t="shared" ref="I38:I39" si="2">IFERROR(F38/$M$11,)</f>
        <v>0</v>
      </c>
      <c r="J38" s="45"/>
      <c r="K38" s="54"/>
      <c r="L38" s="384"/>
      <c r="M38" s="384"/>
      <c r="N38" s="77"/>
      <c r="O38" s="34"/>
    </row>
    <row r="39" spans="1:18" x14ac:dyDescent="0.25">
      <c r="A39" s="51"/>
      <c r="C39" s="24" t="s">
        <v>204</v>
      </c>
      <c r="D39" s="376">
        <v>1</v>
      </c>
      <c r="E39" s="24" t="s">
        <v>222</v>
      </c>
      <c r="F39" s="38">
        <f>D39</f>
        <v>1</v>
      </c>
      <c r="H39" s="33"/>
      <c r="I39" s="140">
        <f t="shared" si="2"/>
        <v>0</v>
      </c>
      <c r="J39" s="45"/>
      <c r="K39" s="54"/>
      <c r="L39" s="384"/>
      <c r="M39" s="384"/>
      <c r="N39" s="77"/>
      <c r="O39" s="34"/>
    </row>
    <row r="40" spans="1:18" x14ac:dyDescent="0.25">
      <c r="A40" s="51"/>
      <c r="D40" s="320"/>
      <c r="F40" s="38"/>
      <c r="H40" s="33"/>
      <c r="I40" s="45"/>
      <c r="J40" s="45"/>
      <c r="K40" s="54"/>
      <c r="L40" s="384"/>
      <c r="M40" s="384"/>
      <c r="N40" s="77"/>
      <c r="O40" s="34"/>
    </row>
    <row r="41" spans="1:18" x14ac:dyDescent="0.25">
      <c r="A41" s="90"/>
      <c r="B41" s="90" t="s">
        <v>251</v>
      </c>
      <c r="C41" s="39"/>
      <c r="D41" s="379"/>
      <c r="E41" s="39"/>
      <c r="F41" s="43"/>
      <c r="G41" s="39"/>
      <c r="H41" s="91"/>
      <c r="I41" s="92"/>
      <c r="J41" s="92"/>
      <c r="K41" s="93"/>
      <c r="L41" s="386"/>
      <c r="M41" s="386"/>
      <c r="N41" s="94"/>
      <c r="O41" s="95">
        <f>SUM(K41:N41)</f>
        <v>0</v>
      </c>
    </row>
    <row r="42" spans="1:18" x14ac:dyDescent="0.25">
      <c r="A42" s="61"/>
      <c r="B42" s="62"/>
      <c r="C42" s="62"/>
      <c r="D42" s="380"/>
      <c r="E42" s="62"/>
      <c r="F42" s="63"/>
      <c r="G42" s="62"/>
      <c r="H42" s="71"/>
      <c r="I42" s="64"/>
      <c r="J42" s="65"/>
      <c r="K42" s="66"/>
      <c r="L42" s="387"/>
      <c r="M42" s="388"/>
      <c r="N42" s="65" t="s">
        <v>247</v>
      </c>
      <c r="O42" s="83">
        <f>SUM(O21:O41)</f>
        <v>1613.6450491034484</v>
      </c>
    </row>
    <row r="43" spans="1:18" x14ac:dyDescent="0.25">
      <c r="A43" s="51"/>
      <c r="D43" s="320"/>
      <c r="F43" s="38"/>
      <c r="H43" s="33"/>
      <c r="I43" s="45"/>
      <c r="J43" s="45"/>
      <c r="K43" s="79"/>
      <c r="L43" s="389"/>
      <c r="M43" s="384"/>
      <c r="N43" s="77"/>
      <c r="O43" s="34"/>
    </row>
    <row r="44" spans="1:18" x14ac:dyDescent="0.25">
      <c r="A44" s="55" t="s">
        <v>35</v>
      </c>
      <c r="B44" s="55" t="str">
        <f>VLOOKUP('ii. WO Linear Infr. Mnt Hours'!A44,WO_Data_Masterlist[],5,FALSE)</f>
        <v>Distribution System Inspection</v>
      </c>
      <c r="C44" s="55"/>
      <c r="D44" s="381"/>
      <c r="E44" s="55"/>
      <c r="F44" s="56"/>
      <c r="G44" s="56">
        <f>SUM(F45:F49)</f>
        <v>54</v>
      </c>
      <c r="H44" s="72">
        <v>12</v>
      </c>
      <c r="I44" s="73"/>
      <c r="J44" s="146">
        <f>SUM(I45:I47)*H44</f>
        <v>46.8</v>
      </c>
      <c r="K44" s="80">
        <f>J44*('TABLE OF CONTENTS'!$K$15+'TABLE OF CONTENTS'!$K$16)</f>
        <v>2221.4378482758621</v>
      </c>
      <c r="L44" s="383">
        <v>50</v>
      </c>
      <c r="M44" s="383">
        <v>50</v>
      </c>
      <c r="N44" s="84">
        <v>0</v>
      </c>
      <c r="O44" s="85">
        <f>IFERROR(K44+((SUM(L44:N44)/$M$10)*H44),0)</f>
        <v>2461.4378482758621</v>
      </c>
      <c r="Q44" s="89"/>
      <c r="R44" s="89"/>
    </row>
    <row r="45" spans="1:18" x14ac:dyDescent="0.25">
      <c r="A45" s="51"/>
      <c r="C45" s="24" t="s">
        <v>332</v>
      </c>
      <c r="D45" s="376">
        <v>0.25</v>
      </c>
      <c r="E45" s="24" t="s">
        <v>335</v>
      </c>
      <c r="F45" s="38">
        <f>D45*M12</f>
        <v>2.5</v>
      </c>
      <c r="H45" s="33"/>
      <c r="I45" s="140">
        <f>IFERROR(F45/$M$12,0)</f>
        <v>0.25</v>
      </c>
      <c r="J45" s="45"/>
      <c r="K45" s="54"/>
      <c r="L45" s="384"/>
      <c r="M45" s="384"/>
      <c r="N45" s="77"/>
      <c r="O45" s="34"/>
      <c r="Q45" s="89"/>
      <c r="R45" s="89"/>
    </row>
    <row r="46" spans="1:18" x14ac:dyDescent="0.25">
      <c r="A46" s="51"/>
      <c r="C46" s="24" t="s">
        <v>333</v>
      </c>
      <c r="D46" s="376">
        <v>0.25</v>
      </c>
      <c r="E46" s="24" t="s">
        <v>212</v>
      </c>
      <c r="F46" s="38">
        <f>D46*M13</f>
        <v>12.5</v>
      </c>
      <c r="H46" s="33"/>
      <c r="I46" s="140">
        <f t="shared" ref="I46:I49" si="3">IFERROR(F46/$M$12,0)</f>
        <v>1.25</v>
      </c>
      <c r="J46" s="45"/>
      <c r="K46" s="54"/>
      <c r="L46" s="384"/>
      <c r="M46" s="384"/>
      <c r="N46" s="77"/>
      <c r="O46" s="34"/>
      <c r="Q46" s="89"/>
      <c r="R46" s="89"/>
    </row>
    <row r="47" spans="1:18" x14ac:dyDescent="0.25">
      <c r="A47" s="51"/>
      <c r="C47" s="24" t="s">
        <v>523</v>
      </c>
      <c r="D47" s="376">
        <v>0.2</v>
      </c>
      <c r="E47" s="24" t="s">
        <v>215</v>
      </c>
      <c r="F47" s="38">
        <f>D47*M14</f>
        <v>24</v>
      </c>
      <c r="H47" s="33"/>
      <c r="I47" s="140">
        <f t="shared" si="3"/>
        <v>2.4</v>
      </c>
      <c r="J47" s="45"/>
      <c r="K47" s="54"/>
      <c r="L47" s="384"/>
      <c r="M47" s="384"/>
      <c r="N47" s="77"/>
      <c r="O47" s="34"/>
    </row>
    <row r="48" spans="1:18" x14ac:dyDescent="0.25">
      <c r="A48" s="51"/>
      <c r="C48" s="24" t="s">
        <v>334</v>
      </c>
      <c r="D48" s="376">
        <v>0.2</v>
      </c>
      <c r="E48" s="24" t="s">
        <v>215</v>
      </c>
      <c r="F48" s="38">
        <f>D48*M15</f>
        <v>14</v>
      </c>
      <c r="H48" s="33"/>
      <c r="I48" s="140">
        <f t="shared" si="3"/>
        <v>1.4</v>
      </c>
      <c r="J48" s="45"/>
      <c r="K48" s="54"/>
      <c r="L48" s="384"/>
      <c r="M48" s="384"/>
      <c r="N48" s="77"/>
      <c r="O48" s="34"/>
    </row>
    <row r="49" spans="1:15" x14ac:dyDescent="0.25">
      <c r="A49" s="51"/>
      <c r="C49" s="24" t="s">
        <v>336</v>
      </c>
      <c r="D49" s="376">
        <v>1</v>
      </c>
      <c r="E49" s="24" t="s">
        <v>222</v>
      </c>
      <c r="F49" s="38">
        <f t="shared" ref="F49" si="4">D49</f>
        <v>1</v>
      </c>
      <c r="H49" s="33"/>
      <c r="I49" s="140">
        <f t="shared" si="3"/>
        <v>0.1</v>
      </c>
      <c r="J49" s="45"/>
      <c r="K49" s="54"/>
      <c r="L49" s="384"/>
      <c r="M49" s="384"/>
      <c r="N49" s="77"/>
      <c r="O49" s="34"/>
    </row>
    <row r="50" spans="1:15" x14ac:dyDescent="0.25">
      <c r="A50" s="51"/>
      <c r="D50" s="320"/>
      <c r="F50" s="38"/>
      <c r="H50" s="33"/>
      <c r="I50" s="45"/>
      <c r="J50" s="45"/>
      <c r="K50" s="54"/>
      <c r="L50" s="384"/>
      <c r="M50" s="384"/>
      <c r="N50" s="77"/>
      <c r="O50" s="34"/>
    </row>
    <row r="51" spans="1:15" x14ac:dyDescent="0.25">
      <c r="A51" s="55" t="s">
        <v>36</v>
      </c>
      <c r="B51" s="55" t="str">
        <f>VLOOKUP('ii. WO Linear Infr. Mnt Hours'!A51,WO_Data_Masterlist[],5,FALSE)</f>
        <v>Annual Valve Inspection and Maintenance</v>
      </c>
      <c r="C51" s="55"/>
      <c r="D51" s="381"/>
      <c r="E51" s="55"/>
      <c r="F51" s="56"/>
      <c r="G51" s="56">
        <f>SUM(F52:F56)</f>
        <v>49</v>
      </c>
      <c r="H51" s="72">
        <v>1</v>
      </c>
      <c r="I51" s="73"/>
      <c r="J51" s="146">
        <f>SUM(I52:I56)*H51</f>
        <v>4.8999999999999995</v>
      </c>
      <c r="K51" s="80">
        <f>J51*('TABLE OF CONTENTS'!$K$15+'TABLE OF CONTENTS'!$K$16)</f>
        <v>232.58644137931032</v>
      </c>
      <c r="L51" s="383">
        <v>50</v>
      </c>
      <c r="M51" s="383">
        <v>150</v>
      </c>
      <c r="N51" s="84">
        <v>0</v>
      </c>
      <c r="O51" s="85">
        <f>IFERROR(K51+((SUM(L51:N51)/$M$10)*H51),0)</f>
        <v>272.58644137931032</v>
      </c>
    </row>
    <row r="52" spans="1:15" x14ac:dyDescent="0.25">
      <c r="C52" s="24" t="s">
        <v>207</v>
      </c>
      <c r="D52" s="376">
        <v>0.1</v>
      </c>
      <c r="E52" s="24" t="s">
        <v>215</v>
      </c>
      <c r="F52" s="38">
        <f>D52*M14</f>
        <v>12</v>
      </c>
      <c r="H52" s="33"/>
      <c r="I52" s="140">
        <f>IFERROR(F52/$M$12,0)</f>
        <v>1.2</v>
      </c>
      <c r="J52" s="45"/>
      <c r="K52" s="54"/>
      <c r="L52" s="384"/>
      <c r="M52" s="384"/>
      <c r="N52" s="77"/>
      <c r="O52" s="34"/>
    </row>
    <row r="53" spans="1:15" x14ac:dyDescent="0.25">
      <c r="C53" s="24" t="s">
        <v>206</v>
      </c>
      <c r="D53" s="376">
        <v>0.1</v>
      </c>
      <c r="E53" s="24" t="s">
        <v>215</v>
      </c>
      <c r="F53" s="38">
        <f>D53*M14</f>
        <v>12</v>
      </c>
      <c r="H53" s="33"/>
      <c r="I53" s="140">
        <f t="shared" ref="I53:I56" si="5">IFERROR(F53/$M$12,0)</f>
        <v>1.2</v>
      </c>
      <c r="J53" s="45"/>
      <c r="K53" s="54"/>
      <c r="L53" s="384"/>
      <c r="M53" s="384"/>
      <c r="N53" s="77"/>
      <c r="O53" s="34"/>
    </row>
    <row r="54" spans="1:15" x14ac:dyDescent="0.25">
      <c r="C54" s="24" t="s">
        <v>205</v>
      </c>
      <c r="D54" s="376">
        <v>0.1</v>
      </c>
      <c r="E54" s="24" t="s">
        <v>213</v>
      </c>
      <c r="F54" s="38">
        <f>D54*M14</f>
        <v>12</v>
      </c>
      <c r="H54" s="33"/>
      <c r="I54" s="140">
        <f t="shared" si="5"/>
        <v>1.2</v>
      </c>
      <c r="J54" s="45"/>
      <c r="K54" s="54"/>
      <c r="L54" s="384"/>
      <c r="M54" s="384"/>
      <c r="N54" s="77"/>
      <c r="O54" s="34"/>
    </row>
    <row r="55" spans="1:15" x14ac:dyDescent="0.25">
      <c r="C55" s="24" t="s">
        <v>208</v>
      </c>
      <c r="D55" s="376">
        <v>0.1</v>
      </c>
      <c r="E55" s="24" t="s">
        <v>214</v>
      </c>
      <c r="F55" s="38">
        <f>D55*M14</f>
        <v>12</v>
      </c>
      <c r="H55" s="33"/>
      <c r="I55" s="140">
        <f t="shared" si="5"/>
        <v>1.2</v>
      </c>
      <c r="J55" s="45"/>
      <c r="K55" s="54"/>
      <c r="L55" s="384"/>
      <c r="M55" s="384"/>
      <c r="N55" s="77"/>
      <c r="O55" s="34"/>
    </row>
    <row r="56" spans="1:15" x14ac:dyDescent="0.25">
      <c r="C56" s="24" t="s">
        <v>204</v>
      </c>
      <c r="D56" s="376">
        <v>1</v>
      </c>
      <c r="E56" s="24" t="s">
        <v>222</v>
      </c>
      <c r="F56" s="38">
        <f>D56</f>
        <v>1</v>
      </c>
      <c r="H56" s="33"/>
      <c r="I56" s="140">
        <f t="shared" si="5"/>
        <v>0.1</v>
      </c>
      <c r="J56" s="45"/>
      <c r="K56" s="54"/>
      <c r="L56" s="384"/>
      <c r="M56" s="384"/>
      <c r="N56" s="77"/>
      <c r="O56" s="34"/>
    </row>
    <row r="57" spans="1:15" x14ac:dyDescent="0.25">
      <c r="D57" s="320"/>
      <c r="H57" s="33"/>
      <c r="I57" s="45"/>
      <c r="J57" s="45"/>
      <c r="K57" s="54"/>
      <c r="L57" s="384"/>
      <c r="M57" s="384"/>
      <c r="N57" s="77"/>
      <c r="O57" s="34"/>
    </row>
    <row r="58" spans="1:15" x14ac:dyDescent="0.25">
      <c r="A58" s="55" t="s">
        <v>37</v>
      </c>
      <c r="B58" s="55" t="str">
        <f>VLOOKUP('ii. WO Linear Infr. Mnt Hours'!A58,WO_Data_Masterlist[],5,FALSE)</f>
        <v>Watermain Flushing</v>
      </c>
      <c r="C58" s="55"/>
      <c r="D58" s="381"/>
      <c r="E58" s="55"/>
      <c r="F58" s="55"/>
      <c r="G58" s="56">
        <f>SUM(F59:F64)</f>
        <v>101</v>
      </c>
      <c r="H58" s="72">
        <v>1</v>
      </c>
      <c r="I58" s="73"/>
      <c r="J58" s="146">
        <f>SUM(I59:I64)*H58</f>
        <v>10.1</v>
      </c>
      <c r="K58" s="80">
        <f>J58*('TABLE OF CONTENTS'!$K$15+'TABLE OF CONTENTS'!$K$16)</f>
        <v>479.41286896551725</v>
      </c>
      <c r="L58" s="383">
        <v>100</v>
      </c>
      <c r="M58" s="383">
        <v>50</v>
      </c>
      <c r="N58" s="84">
        <v>0</v>
      </c>
      <c r="O58" s="85">
        <f>IFERROR(K58+((SUM(L58:N58)/$M$10)*H58),0)</f>
        <v>509.41286896551725</v>
      </c>
    </row>
    <row r="59" spans="1:15" x14ac:dyDescent="0.25">
      <c r="B59" s="111"/>
      <c r="C59" s="24" t="s">
        <v>367</v>
      </c>
      <c r="D59" s="376">
        <v>0.15</v>
      </c>
      <c r="E59" s="24" t="s">
        <v>212</v>
      </c>
      <c r="F59" s="38">
        <f>D59*M13</f>
        <v>7.5</v>
      </c>
      <c r="H59" s="33"/>
      <c r="I59" s="140">
        <f>IFERROR(F59/$M$12,0)</f>
        <v>0.75</v>
      </c>
      <c r="J59" s="45"/>
      <c r="K59" s="45"/>
      <c r="L59" s="384"/>
      <c r="M59" s="384"/>
      <c r="N59" s="77"/>
      <c r="O59" s="34"/>
    </row>
    <row r="60" spans="1:15" x14ac:dyDescent="0.25">
      <c r="B60" s="111"/>
      <c r="C60" s="24" t="s">
        <v>462</v>
      </c>
      <c r="D60" s="376">
        <v>0.5</v>
      </c>
      <c r="E60" s="24" t="s">
        <v>212</v>
      </c>
      <c r="F60" s="38">
        <f>D60*M14</f>
        <v>60</v>
      </c>
      <c r="H60" s="33"/>
      <c r="I60" s="140">
        <f t="shared" ref="I60:I64" si="6">IFERROR(F60/$M$12,0)</f>
        <v>6</v>
      </c>
      <c r="J60" s="45"/>
      <c r="K60" s="45"/>
      <c r="L60" s="384"/>
      <c r="M60" s="384"/>
      <c r="N60" s="77"/>
      <c r="O60" s="34"/>
    </row>
    <row r="61" spans="1:15" x14ac:dyDescent="0.25">
      <c r="C61" s="24" t="s">
        <v>366</v>
      </c>
      <c r="D61" s="376">
        <v>0.2</v>
      </c>
      <c r="E61" s="24" t="s">
        <v>212</v>
      </c>
      <c r="F61" s="38">
        <f>D61*M13</f>
        <v>10</v>
      </c>
      <c r="H61" s="33"/>
      <c r="I61" s="140">
        <f t="shared" si="6"/>
        <v>1</v>
      </c>
      <c r="J61" s="45"/>
      <c r="K61" s="45"/>
      <c r="L61" s="384"/>
      <c r="M61" s="384"/>
      <c r="N61" s="77"/>
      <c r="O61" s="34"/>
    </row>
    <row r="62" spans="1:15" x14ac:dyDescent="0.25">
      <c r="C62" s="24" t="s">
        <v>368</v>
      </c>
      <c r="D62" s="376">
        <v>0.3</v>
      </c>
      <c r="E62" s="24" t="s">
        <v>212</v>
      </c>
      <c r="F62" s="38">
        <f>D62*M13</f>
        <v>15</v>
      </c>
      <c r="H62" s="33"/>
      <c r="I62" s="140">
        <f t="shared" si="6"/>
        <v>1.5</v>
      </c>
      <c r="J62" s="45"/>
      <c r="K62" s="45"/>
      <c r="L62" s="384"/>
      <c r="M62" s="384"/>
      <c r="N62" s="77"/>
      <c r="O62" s="34"/>
    </row>
    <row r="63" spans="1:15" x14ac:dyDescent="0.25">
      <c r="C63" s="24" t="s">
        <v>369</v>
      </c>
      <c r="D63" s="376">
        <v>0.15</v>
      </c>
      <c r="E63" s="24" t="s">
        <v>212</v>
      </c>
      <c r="F63" s="38">
        <f>D63*M13</f>
        <v>7.5</v>
      </c>
      <c r="H63" s="33"/>
      <c r="I63" s="140">
        <f t="shared" si="6"/>
        <v>0.75</v>
      </c>
      <c r="J63" s="45"/>
      <c r="K63" s="45"/>
      <c r="L63" s="384"/>
      <c r="M63" s="384"/>
      <c r="N63" s="77"/>
      <c r="O63" s="34"/>
    </row>
    <row r="64" spans="1:15" x14ac:dyDescent="0.25">
      <c r="C64" s="24" t="s">
        <v>204</v>
      </c>
      <c r="D64" s="376">
        <v>1</v>
      </c>
      <c r="E64" s="24" t="s">
        <v>222</v>
      </c>
      <c r="F64" s="38">
        <f>D64</f>
        <v>1</v>
      </c>
      <c r="H64" s="33"/>
      <c r="I64" s="140">
        <f t="shared" si="6"/>
        <v>0.1</v>
      </c>
      <c r="J64" s="45"/>
      <c r="K64" s="45"/>
      <c r="L64" s="384"/>
      <c r="M64" s="384"/>
      <c r="N64" s="77"/>
      <c r="O64" s="34"/>
    </row>
    <row r="65" spans="1:15" x14ac:dyDescent="0.25">
      <c r="D65" s="320"/>
      <c r="F65" s="38"/>
      <c r="H65" s="33"/>
      <c r="I65" s="45"/>
      <c r="J65" s="45"/>
      <c r="K65" s="45"/>
      <c r="L65" s="384"/>
      <c r="M65" s="384"/>
      <c r="N65" s="77"/>
      <c r="O65" s="34"/>
    </row>
    <row r="66" spans="1:15" x14ac:dyDescent="0.25">
      <c r="A66" s="55" t="s">
        <v>38</v>
      </c>
      <c r="B66" s="55" t="str">
        <f>VLOOKUP('ii. WO Linear Infr. Mnt Hours'!A66,WO_Data_Masterlist[],5,FALSE)</f>
        <v>Hydrant Inspection, Maintenance, and Flushing</v>
      </c>
      <c r="C66" s="55"/>
      <c r="D66" s="381"/>
      <c r="E66" s="55"/>
      <c r="F66" s="55"/>
      <c r="G66" s="56">
        <f>SUM(F67:F71)</f>
        <v>35</v>
      </c>
      <c r="H66" s="72">
        <v>1</v>
      </c>
      <c r="I66" s="73"/>
      <c r="J66" s="146">
        <f>SUM(I67:I71)*H66</f>
        <v>3.5</v>
      </c>
      <c r="K66" s="80">
        <f>J66*('TABLE OF CONTENTS'!$K$15+'TABLE OF CONTENTS'!$K$16)</f>
        <v>166.13317241379309</v>
      </c>
      <c r="L66" s="383">
        <v>100</v>
      </c>
      <c r="M66" s="383">
        <v>150</v>
      </c>
      <c r="N66" s="84">
        <v>0</v>
      </c>
      <c r="O66" s="85">
        <f>IFERROR(K66+((SUM(L66:N66)/$M$10)*H66),0)</f>
        <v>216.13317241379309</v>
      </c>
    </row>
    <row r="67" spans="1:15" x14ac:dyDescent="0.25">
      <c r="A67" s="57"/>
      <c r="B67" s="57"/>
      <c r="C67" s="24" t="s">
        <v>219</v>
      </c>
      <c r="D67" s="376">
        <v>0.1</v>
      </c>
      <c r="E67" s="24" t="s">
        <v>212</v>
      </c>
      <c r="F67" s="38">
        <f>D67*M13</f>
        <v>5</v>
      </c>
      <c r="G67" s="153"/>
      <c r="H67" s="125"/>
      <c r="I67" s="140">
        <f>IFERROR(F67/$M$12,0)</f>
        <v>0.5</v>
      </c>
      <c r="J67" s="25"/>
      <c r="K67" s="154"/>
      <c r="L67" s="385"/>
      <c r="M67" s="385"/>
      <c r="N67" s="155"/>
      <c r="O67" s="156"/>
    </row>
    <row r="68" spans="1:15" x14ac:dyDescent="0.25">
      <c r="A68" s="57"/>
      <c r="B68" s="57"/>
      <c r="C68" s="24" t="s">
        <v>220</v>
      </c>
      <c r="D68" s="376">
        <v>0.33</v>
      </c>
      <c r="E68" s="24" t="s">
        <v>212</v>
      </c>
      <c r="F68" s="38">
        <f>D68*M13</f>
        <v>16.5</v>
      </c>
      <c r="G68" s="153"/>
      <c r="H68" s="125"/>
      <c r="I68" s="140">
        <f t="shared" ref="I68:I71" si="7">IFERROR(F68/$M$12,0)</f>
        <v>1.65</v>
      </c>
      <c r="J68" s="25"/>
      <c r="K68" s="154"/>
      <c r="L68" s="385"/>
      <c r="M68" s="385"/>
      <c r="N68" s="155"/>
      <c r="O68" s="156"/>
    </row>
    <row r="69" spans="1:15" x14ac:dyDescent="0.25">
      <c r="A69" s="57"/>
      <c r="B69" s="57"/>
      <c r="C69" s="24" t="s">
        <v>221</v>
      </c>
      <c r="D69" s="376">
        <v>0.25</v>
      </c>
      <c r="E69" s="24" t="s">
        <v>212</v>
      </c>
      <c r="F69" s="38">
        <f>D69*M13</f>
        <v>12.5</v>
      </c>
      <c r="G69" s="153"/>
      <c r="H69" s="125"/>
      <c r="I69" s="140">
        <f t="shared" si="7"/>
        <v>1.25</v>
      </c>
      <c r="J69" s="25"/>
      <c r="K69" s="154"/>
      <c r="L69" s="385"/>
      <c r="M69" s="385"/>
      <c r="N69" s="155"/>
      <c r="O69" s="156"/>
    </row>
    <row r="70" spans="1:15" x14ac:dyDescent="0.25">
      <c r="A70" s="57"/>
      <c r="B70" s="57"/>
      <c r="C70" s="24" t="s">
        <v>510</v>
      </c>
      <c r="D70" s="376"/>
      <c r="E70" s="24" t="s">
        <v>212</v>
      </c>
      <c r="F70" s="38">
        <f>D70*M13</f>
        <v>0</v>
      </c>
      <c r="G70" s="153"/>
      <c r="H70" s="125"/>
      <c r="I70" s="140">
        <f t="shared" si="7"/>
        <v>0</v>
      </c>
      <c r="J70" s="25"/>
      <c r="K70" s="154"/>
      <c r="L70" s="385"/>
      <c r="M70" s="385"/>
      <c r="N70" s="155"/>
      <c r="O70" s="156"/>
    </row>
    <row r="71" spans="1:15" x14ac:dyDescent="0.25">
      <c r="A71" s="57"/>
      <c r="B71" s="57"/>
      <c r="C71" s="24" t="s">
        <v>204</v>
      </c>
      <c r="D71" s="376">
        <v>1</v>
      </c>
      <c r="E71" s="24" t="s">
        <v>222</v>
      </c>
      <c r="F71" s="38">
        <f>D71</f>
        <v>1</v>
      </c>
      <c r="G71" s="153"/>
      <c r="H71" s="125"/>
      <c r="I71" s="140">
        <f t="shared" si="7"/>
        <v>0.1</v>
      </c>
      <c r="J71" s="25"/>
      <c r="K71" s="154"/>
      <c r="L71" s="385"/>
      <c r="M71" s="385"/>
      <c r="N71" s="155"/>
      <c r="O71" s="156"/>
    </row>
    <row r="72" spans="1:15" x14ac:dyDescent="0.25">
      <c r="A72" s="57"/>
      <c r="B72" s="57"/>
      <c r="D72" s="320"/>
      <c r="F72" s="38"/>
      <c r="G72" s="153"/>
      <c r="H72" s="125"/>
      <c r="I72" s="140"/>
      <c r="J72" s="25"/>
      <c r="K72" s="154"/>
      <c r="L72" s="385"/>
      <c r="M72" s="385"/>
      <c r="N72" s="155"/>
      <c r="O72" s="156"/>
    </row>
    <row r="73" spans="1:15" x14ac:dyDescent="0.25">
      <c r="A73" s="55" t="s">
        <v>403</v>
      </c>
      <c r="B73" s="55" t="str">
        <f>VLOOKUP('ii. WO Linear Infr. Mnt Hours'!A73,WO_Data_Masterlist[],5,FALSE)</f>
        <v>Fire Hydrant and Standpipe Test</v>
      </c>
      <c r="C73" s="55"/>
      <c r="D73" s="381"/>
      <c r="E73" s="55"/>
      <c r="F73" s="55"/>
      <c r="G73" s="56">
        <f>SUM(F74:F75)</f>
        <v>76</v>
      </c>
      <c r="H73" s="72">
        <v>2</v>
      </c>
      <c r="I73" s="73"/>
      <c r="J73" s="146">
        <f>SUM(I74:I75)*H73</f>
        <v>15.2</v>
      </c>
      <c r="K73" s="80">
        <f>J73*('TABLE OF CONTENTS'!$K$15+'TABLE OF CONTENTS'!$K$16)</f>
        <v>721.4926344827586</v>
      </c>
      <c r="L73" s="383">
        <v>0</v>
      </c>
      <c r="M73" s="383">
        <v>0</v>
      </c>
      <c r="N73" s="84">
        <v>0</v>
      </c>
      <c r="O73" s="85">
        <f>IFERROR(K73+((SUM(L73:N73)/$M$10)*H73),0)</f>
        <v>721.4926344827586</v>
      </c>
    </row>
    <row r="74" spans="1:15" x14ac:dyDescent="0.25">
      <c r="A74" s="57"/>
      <c r="B74" s="57"/>
      <c r="C74" s="157" t="s">
        <v>408</v>
      </c>
      <c r="D74" s="382">
        <v>1.5</v>
      </c>
      <c r="E74" s="157" t="s">
        <v>212</v>
      </c>
      <c r="F74" s="38">
        <f>D74*M13</f>
        <v>75</v>
      </c>
      <c r="G74" s="153"/>
      <c r="H74" s="125"/>
      <c r="I74" s="140">
        <f>IFERROR(F74/$M$12,0)</f>
        <v>7.5</v>
      </c>
      <c r="J74" s="25"/>
      <c r="K74" s="154"/>
      <c r="L74" s="385"/>
      <c r="M74" s="385"/>
      <c r="N74" s="155"/>
      <c r="O74" s="156"/>
    </row>
    <row r="75" spans="1:15" x14ac:dyDescent="0.25">
      <c r="A75" s="57"/>
      <c r="B75" s="57"/>
      <c r="C75" s="24" t="s">
        <v>204</v>
      </c>
      <c r="D75" s="376">
        <v>1</v>
      </c>
      <c r="E75" s="24" t="s">
        <v>222</v>
      </c>
      <c r="F75" s="38">
        <f>D75</f>
        <v>1</v>
      </c>
      <c r="G75" s="153"/>
      <c r="H75" s="125"/>
      <c r="I75" s="140">
        <f>IFERROR(F75/$M$12,0)</f>
        <v>0.1</v>
      </c>
      <c r="J75" s="25"/>
      <c r="K75" s="154"/>
      <c r="L75" s="385"/>
      <c r="M75" s="385"/>
      <c r="N75" s="155"/>
      <c r="O75" s="156"/>
    </row>
    <row r="76" spans="1:15" x14ac:dyDescent="0.25">
      <c r="A76" s="57"/>
      <c r="B76" s="57"/>
      <c r="D76" s="320"/>
      <c r="F76" s="38"/>
      <c r="G76" s="153"/>
      <c r="H76" s="125"/>
      <c r="I76" s="140"/>
      <c r="J76" s="25"/>
      <c r="K76" s="154"/>
      <c r="L76" s="385"/>
      <c r="M76" s="385"/>
      <c r="N76" s="155"/>
      <c r="O76" s="156"/>
    </row>
    <row r="77" spans="1:15" x14ac:dyDescent="0.25">
      <c r="D77" s="320"/>
      <c r="F77" s="38"/>
      <c r="H77" s="33"/>
      <c r="I77" s="45"/>
      <c r="J77" s="45"/>
      <c r="K77" s="45"/>
      <c r="L77" s="384"/>
      <c r="M77" s="384"/>
      <c r="N77" s="77"/>
      <c r="O77" s="34"/>
    </row>
    <row r="78" spans="1:15" x14ac:dyDescent="0.25">
      <c r="A78" s="96"/>
      <c r="B78" s="97" t="s">
        <v>252</v>
      </c>
      <c r="C78" s="97"/>
      <c r="D78" s="97"/>
      <c r="E78" s="97"/>
      <c r="F78" s="97"/>
      <c r="G78" s="97"/>
      <c r="H78" s="98"/>
      <c r="I78" s="99"/>
      <c r="J78" s="99"/>
      <c r="K78" s="100"/>
      <c r="L78" s="101"/>
      <c r="M78" s="101"/>
      <c r="N78" s="101"/>
      <c r="O78" s="102">
        <f>SUM(K78:N78)</f>
        <v>0</v>
      </c>
    </row>
    <row r="79" spans="1:15" ht="15.75" thickBot="1" x14ac:dyDescent="0.3">
      <c r="A79" s="52"/>
      <c r="B79" s="52"/>
      <c r="C79" s="52"/>
      <c r="D79" s="52"/>
      <c r="E79" s="52"/>
      <c r="F79" s="52"/>
      <c r="G79" s="52"/>
      <c r="H79" s="74"/>
      <c r="I79" s="75"/>
      <c r="J79" s="76"/>
      <c r="K79" s="86"/>
      <c r="L79" s="87"/>
      <c r="M79" s="87"/>
      <c r="N79" s="76" t="s">
        <v>248</v>
      </c>
      <c r="O79" s="88">
        <f>SUM(O44:O78)</f>
        <v>4181.0629655172415</v>
      </c>
    </row>
  </sheetData>
  <sheetProtection algorithmName="SHA-512" hashValue="3m0+p8itKsqJm97HcRop1ZyZenDaqwtjd6lIROXVQ63SSAH0kHygfmDXdOwOCLhbgDjNYl9qHNfqTozcUoL6wA==" saltValue="C8UcMZmJBhJ0vddMzOiDUg==" spinCount="100000" sheet="1" autoFilter="0" pivotTables="0"/>
  <mergeCells count="1">
    <mergeCell ref="E2:E3"/>
  </mergeCells>
  <hyperlinks>
    <hyperlink ref="E2:E3" location="'TABLE OF CONTENTS'!A1" display="Return to Table of Contents" xr:uid="{940A7B12-26D1-48A0-BF82-239211231132}"/>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BD87-2532-418B-9EDB-52C5A5C289D4}">
  <sheetPr>
    <tabColor theme="9" tint="0.59999389629810485"/>
  </sheetPr>
  <dimension ref="A1:G15"/>
  <sheetViews>
    <sheetView zoomScale="75" zoomScaleNormal="75" workbookViewId="0">
      <selection activeCell="B12" sqref="B12"/>
    </sheetView>
  </sheetViews>
  <sheetFormatPr defaultRowHeight="15" x14ac:dyDescent="0.25"/>
  <cols>
    <col min="1" max="1" width="26.7109375" bestFit="1" customWidth="1"/>
    <col min="2" max="2" width="28" bestFit="1" customWidth="1"/>
    <col min="3" max="3" width="12.85546875" bestFit="1" customWidth="1"/>
    <col min="4" max="5" width="22.42578125" bestFit="1" customWidth="1"/>
    <col min="6" max="10" width="11" bestFit="1" customWidth="1"/>
    <col min="11" max="11" width="11.140625" bestFit="1" customWidth="1"/>
    <col min="12" max="39" width="16.42578125" bestFit="1" customWidth="1"/>
    <col min="40" max="40" width="12.5703125" bestFit="1" customWidth="1"/>
  </cols>
  <sheetData>
    <row r="1" spans="1:7" s="24" customFormat="1" x14ac:dyDescent="0.25"/>
    <row r="2" spans="1:7" s="24" customFormat="1" x14ac:dyDescent="0.25"/>
    <row r="3" spans="1:7" s="24" customFormat="1" x14ac:dyDescent="0.25">
      <c r="F3" s="471" t="s">
        <v>130</v>
      </c>
      <c r="G3" s="53"/>
    </row>
    <row r="4" spans="1:7" s="24" customFormat="1" x14ac:dyDescent="0.25">
      <c r="F4" s="472"/>
      <c r="G4" s="53"/>
    </row>
    <row r="5" spans="1:7" s="24" customFormat="1" x14ac:dyDescent="0.25"/>
    <row r="6" spans="1:7" s="24" customFormat="1" x14ac:dyDescent="0.25"/>
    <row r="7" spans="1:7" s="24" customFormat="1" x14ac:dyDescent="0.25"/>
    <row r="8" spans="1:7" s="24" customFormat="1" ht="15.75" x14ac:dyDescent="0.25">
      <c r="A8" s="1" t="s">
        <v>264</v>
      </c>
    </row>
    <row r="11" spans="1:7" x14ac:dyDescent="0.25">
      <c r="A11" s="209" t="s">
        <v>351</v>
      </c>
      <c r="B11" s="192" t="s">
        <v>352</v>
      </c>
      <c r="C11" s="192" t="s">
        <v>10</v>
      </c>
      <c r="D11" s="193" t="s">
        <v>350</v>
      </c>
    </row>
    <row r="12" spans="1:7" x14ac:dyDescent="0.25">
      <c r="A12" s="24" t="s">
        <v>499</v>
      </c>
      <c r="B12" s="24" t="s">
        <v>499</v>
      </c>
      <c r="C12" s="24" t="s">
        <v>347</v>
      </c>
      <c r="D12" s="191">
        <v>0</v>
      </c>
    </row>
    <row r="13" spans="1:7" x14ac:dyDescent="0.25">
      <c r="B13" s="24" t="s">
        <v>500</v>
      </c>
      <c r="C13" s="24"/>
      <c r="D13" s="191">
        <v>0</v>
      </c>
    </row>
    <row r="14" spans="1:7" x14ac:dyDescent="0.25">
      <c r="A14" s="24" t="s">
        <v>500</v>
      </c>
      <c r="B14" s="24"/>
      <c r="C14" s="24"/>
      <c r="D14" s="191">
        <v>0</v>
      </c>
    </row>
    <row r="15" spans="1:7" x14ac:dyDescent="0.25">
      <c r="A15" s="24" t="s">
        <v>348</v>
      </c>
      <c r="D15" s="191">
        <v>0</v>
      </c>
    </row>
  </sheetData>
  <mergeCells count="1">
    <mergeCell ref="F3:F4"/>
  </mergeCells>
  <hyperlinks>
    <hyperlink ref="F3:F4" location="'TABLE OF CONTENTS'!A1" display="Return to Table of Contents" xr:uid="{86948E3C-3470-4599-A4F4-F518E42D8314}"/>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D09E-675F-4860-8D50-7FF349C9C0D7}">
  <dimension ref="A1:D8"/>
  <sheetViews>
    <sheetView zoomScale="75" zoomScaleNormal="75" workbookViewId="0">
      <selection activeCell="N25" sqref="N25"/>
    </sheetView>
  </sheetViews>
  <sheetFormatPr defaultRowHeight="15" x14ac:dyDescent="0.25"/>
  <cols>
    <col min="1" max="1" width="26.7109375" bestFit="1" customWidth="1"/>
    <col min="2" max="2" width="23" bestFit="1" customWidth="1"/>
    <col min="3" max="3" width="15.42578125" bestFit="1" customWidth="1"/>
    <col min="4" max="4" width="22" bestFit="1" customWidth="1"/>
  </cols>
  <sheetData>
    <row r="1" spans="1:4" x14ac:dyDescent="0.25">
      <c r="A1" s="182" t="s">
        <v>444</v>
      </c>
      <c r="B1" s="24" t="s">
        <v>512</v>
      </c>
    </row>
    <row r="3" spans="1:4" x14ac:dyDescent="0.25">
      <c r="A3" s="182" t="s">
        <v>5</v>
      </c>
      <c r="B3" s="182" t="s">
        <v>7</v>
      </c>
      <c r="C3" s="182" t="s">
        <v>0</v>
      </c>
      <c r="D3" t="s">
        <v>514</v>
      </c>
    </row>
    <row r="4" spans="1:4" x14ac:dyDescent="0.25">
      <c r="A4" s="24" t="s">
        <v>26</v>
      </c>
      <c r="B4" s="24" t="s">
        <v>49</v>
      </c>
      <c r="D4" s="37">
        <v>226.98173040752349</v>
      </c>
    </row>
    <row r="5" spans="1:4" x14ac:dyDescent="0.25">
      <c r="B5" s="24" t="s">
        <v>105</v>
      </c>
      <c r="D5" s="37">
        <v>11385.730896551726</v>
      </c>
    </row>
    <row r="6" spans="1:4" x14ac:dyDescent="0.25">
      <c r="B6" s="24" t="s">
        <v>102</v>
      </c>
      <c r="D6" s="37">
        <v>1718.5487806896551</v>
      </c>
    </row>
    <row r="7" spans="1:4" x14ac:dyDescent="0.25">
      <c r="A7" s="24" t="s">
        <v>34</v>
      </c>
      <c r="B7" s="24" t="s">
        <v>104</v>
      </c>
      <c r="D7" s="37">
        <v>7156.2642758620696</v>
      </c>
    </row>
    <row r="8" spans="1:4" x14ac:dyDescent="0.25">
      <c r="B8" s="24" t="s">
        <v>102</v>
      </c>
      <c r="D8" s="37">
        <v>6014.1211517241381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TABLE OF CONTENTS</vt:lpstr>
      <vt:lpstr>1.ASSET INVENTORY - WATERMAINS</vt:lpstr>
      <vt:lpstr>2. ASSET INVENTORY - SANI MAIN</vt:lpstr>
      <vt:lpstr>3.ASSET INVENTORY - Non-Linear</vt:lpstr>
      <vt:lpstr>4. SUGGESTED WORK ORDERS</vt:lpstr>
      <vt:lpstr>5. SCHEDULE</vt:lpstr>
      <vt:lpstr>6. BUDGET</vt:lpstr>
      <vt:lpstr>i. WO Data Masterlist</vt:lpstr>
      <vt:lpstr>ii. WO Linear Infr. Mnt Hours</vt:lpstr>
      <vt:lpstr>iii.Annual Mnt. Budget Summary </vt:lpstr>
      <vt:lpstr>iv. Annual Unit Cost</vt:lpstr>
      <vt:lpstr>'5. SCHEDULE'!Print_Area</vt:lpstr>
      <vt:lpstr>'6. BUDGET'!Print_Area</vt:lpstr>
      <vt:lpstr>'6. BUDGET'!TaskDescription</vt:lpstr>
      <vt:lpstr>TaskDescription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Destry Glover</cp:lastModifiedBy>
  <cp:lastPrinted>2022-05-04T01:01:21Z</cp:lastPrinted>
  <dcterms:created xsi:type="dcterms:W3CDTF">2015-10-19T17:42:33Z</dcterms:created>
  <dcterms:modified xsi:type="dcterms:W3CDTF">2022-05-31T17:14:48Z</dcterms:modified>
</cp:coreProperties>
</file>